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hisWorkbook" autoCompressPictures="0"/>
  <mc:AlternateContent xmlns:mc="http://schemas.openxmlformats.org/markup-compatibility/2006">
    <mc:Choice Requires="x15">
      <x15ac:absPath xmlns:x15ac="http://schemas.microsoft.com/office/spreadsheetml/2010/11/ac" url="C:\QMS FCT\QMS ISO 9001 - All ISO\8.2 Review of Requirements for Products and Services\Standards - Specifications\Conflict minerals\Official Letter and Listing\New Format\New Version\"/>
    </mc:Choice>
  </mc:AlternateContent>
  <xr:revisionPtr revIDLastSave="0" documentId="13_ncr:1_{E864C850-AD66-4142-9FCE-29CED6EFAC63}"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08" yWindow="-108" windowWidth="23256" windowHeight="125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S6" i="5"/>
  <c r="T6" i="5"/>
  <c r="S7" i="5"/>
  <c r="T7" i="5"/>
  <c r="S8" i="5"/>
  <c r="T8" i="5"/>
  <c r="S9" i="5"/>
  <c r="T9" i="5"/>
  <c r="S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S5" i="5"/>
  <c r="T5" i="5"/>
  <c r="V5" i="5"/>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9" i="5"/>
  <c r="V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R10" i="5"/>
  <c r="H13" i="5"/>
  <c r="R13" i="5"/>
  <c r="J13" i="5"/>
  <c r="I13" i="5"/>
  <c r="F13" i="5"/>
  <c r="R7" i="5"/>
  <c r="H17" i="5"/>
  <c r="I17" i="5"/>
  <c r="J17" i="5"/>
  <c r="R17" i="5"/>
  <c r="F17" i="5"/>
  <c r="G66" i="6"/>
  <c r="H66" i="6"/>
  <c r="C66" i="6"/>
  <c r="G67" i="6"/>
  <c r="H67" i="6"/>
  <c r="D67" i="6"/>
  <c r="G65" i="6"/>
  <c r="H65" i="6"/>
  <c r="C65" i="6"/>
  <c r="I12" i="5"/>
  <c r="J12" i="5"/>
  <c r="R12" i="5"/>
  <c r="F12" i="5"/>
  <c r="H12" i="5"/>
  <c r="R9" i="5"/>
  <c r="R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<sst xmlns="http://schemas.openxmlformats.org/spreadsheetml/2006/main" count="22390" uniqueCount="15838">
  <si>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</si>
  <si>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</si>
  <si>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</si>
  <si>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</si>
  <si>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</si>
  <si>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</si>
  <si>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</si>
  <si>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</si>
  <si>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</si>
  <si>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</si>
  <si>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</si>
  <si>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</si>
  <si>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</si>
  <si>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</si>
  <si>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</si>
  <si>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</si>
  <si>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</si>
  <si>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</si>
  <si>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</si>
  <si>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</si>
  <si>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</si>
  <si>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</si>
  <si>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</si>
  <si>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</si>
  <si>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</si>
  <si>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</si>
  <si>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</si>
  <si>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</si>
  <si>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</si>
  <si>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</si>
  <si>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</si>
  <si>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</si>
  <si>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</si>
  <si>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</si>
  <si>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</si>
  <si>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</si>
  <si>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</si>
  <si>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</si>
  <si>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</si>
  <si>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</si>
  <si>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</si>
  <si>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</si>
  <si>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</si>
  <si>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</si>
  <si>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</si>
  <si>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</si>
  <si>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</si>
  <si>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</si>
  <si>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</si>
  <si>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</si>
  <si>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</si>
  <si>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</si>
  <si>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</si>
  <si>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</si>
  <si>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</si>
  <si>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</si>
  <si>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</si>
  <si>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</si>
  <si>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</si>
  <si>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</si>
  <si>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</si>
  <si>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</si>
  <si>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</si>
  <si>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</si>
  <si>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</si>
  <si>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</si>
  <si>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</si>
  <si>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</si>
  <si>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</si>
  <si>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</si>
  <si>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</si>
  <si>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</si>
  <si>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</si>
  <si>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</si>
  <si>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</si>
  <si>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</si>
  <si>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</si>
  <si>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</si>
  <si>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</si>
  <si>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</si>
  <si>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</si>
  <si>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</si>
  <si>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</si>
  <si>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</si>
  <si>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</si>
  <si>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</si>
  <si>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</si>
  <si>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</si>
  <si>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</si>
  <si>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</si>
  <si>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</si>
  <si>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</si>
  <si>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</si>
  <si>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</si>
  <si>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</si>
  <si>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</si>
  <si>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</si>
  <si>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</si>
  <si>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</si>
  <si>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</si>
  <si>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</si>
  <si>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</si>
  <si>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</si>
  <si>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</si>
  <si>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</si>
  <si>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</si>
  <si>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</si>
  <si>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</si>
  <si>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</si>
  <si>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</si>
  <si>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</si>
  <si>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</si>
  <si>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</si>
  <si>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</si>
  <si>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</si>
  <si>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</si>
  <si>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</si>
  <si>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</si>
  <si>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</si>
  <si>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</si>
  <si>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</si>
  <si>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</si>
  <si>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</si>
  <si>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</si>
  <si>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</si>
  <si>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</si>
  <si>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</si>
  <si>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</si>
  <si>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</si>
  <si>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</si>
  <si>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</si>
  <si>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</si>
  <si>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</si>
  <si>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</si>
  <si>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</si>
  <si>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</si>
  <si>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</si>
  <si>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</si>
  <si>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</si>
  <si>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</si>
  <si>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</si>
  <si>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</si>
  <si>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</si>
  <si>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</si>
  <si>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</si>
  <si>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</si>
  <si>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</si>
  <si>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</si>
  <si>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</si>
  <si>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</si>
  <si>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</si>
  <si>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</si>
  <si>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</si>
  <si>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</si>
  <si>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</si>
  <si>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</si>
  <si>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</si>
  <si>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</si>
  <si>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</si>
  <si>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</si>
  <si>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</si>
  <si>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</si>
  <si>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</si>
  <si>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</si>
  <si>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</si>
  <si>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</si>
  <si>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</si>
  <si>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</si>
  <si>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</si>
  <si>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</si>
  <si>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</si>
  <si>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</si>
  <si>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</si>
  <si>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</si>
  <si>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</si>
  <si>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</si>
  <si>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</si>
  <si>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</si>
  <si>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</si>
  <si>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</si>
  <si>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</si>
  <si>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</si>
  <si>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</si>
  <si>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</si>
  <si>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</si>
  <si>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</si>
  <si>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</si>
  <si>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</si>
  <si>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</si>
  <si>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</si>
  <si>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</si>
  <si>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</si>
  <si>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</si>
  <si>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</si>
  <si>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</si>
  <si>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</si>
  <si>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</si>
  <si>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</si>
  <si>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</si>
  <si>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</si>
  <si>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</si>
  <si>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</si>
  <si>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</si>
  <si>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</si>
  <si>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</si>
  <si>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</si>
  <si>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</si>
  <si>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</si>
  <si>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</si>
  <si>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</si>
  <si>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</si>
  <si>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</si>
  <si>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</si>
  <si>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</si>
  <si>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</si>
  <si>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</si>
  <si>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</si>
  <si>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</si>
  <si>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</si>
  <si>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</si>
  <si>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</si>
  <si>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</si>
  <si>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</si>
  <si>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</si>
  <si>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</si>
  <si>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</si>
  <si>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</si>
  <si>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</si>
  <si>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</si>
  <si>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</si>
  <si>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</si>
  <si>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</si>
  <si>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</si>
  <si>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</si>
  <si>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</si>
  <si>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</si>
  <si>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</si>
  <si>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</si>
  <si>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</si>
  <si>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</si>
  <si>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</si>
  <si>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</si>
  <si>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</si>
  <si>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</si>
  <si>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</si>
  <si>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</si>
  <si>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</si>
  <si>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</si>
  <si>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</si>
  <si>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</si>
  <si>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</si>
  <si>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</si>
  <si>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</si>
  <si>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</si>
  <si>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</si>
  <si>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</si>
  <si>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</si>
  <si>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</si>
  <si>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</si>
  <si>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</si>
  <si>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</si>
  <si>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</si>
  <si>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</si>
  <si>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</si>
  <si>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</si>
  <si>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</si>
  <si>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</si>
  <si>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</si>
  <si>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</si>
  <si>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</si>
  <si>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</si>
  <si>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</si>
  <si>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</si>
  <si>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</si>
  <si>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</si>
  <si>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</si>
  <si>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</si>
  <si>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</si>
  <si>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</si>
  <si>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</si>
  <si>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</si>
  <si>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</si>
  <si>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</si>
  <si>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</si>
  <si>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</si>
  <si>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</si>
  <si>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</si>
  <si>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</si>
  <si>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</si>
  <si>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</si>
  <si>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</si>
  <si>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</si>
  <si>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</si>
  <si>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</si>
  <si>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</si>
  <si>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</si>
  <si>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</si>
  <si>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</si>
  <si>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</si>
  <si>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</si>
  <si>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</si>
  <si>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</si>
  <si>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</si>
  <si>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</si>
  <si>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</si>
  <si>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</si>
  <si>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</si>
  <si>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</si>
  <si>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</si>
  <si>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</si>
  <si>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</si>
  <si>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</si>
  <si>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</si>
  <si>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</si>
  <si>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</si>
  <si>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</si>
  <si>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</si>
  <si>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</si>
  <si>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</si>
  <si>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</si>
  <si>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</si>
  <si>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</si>
  <si>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</si>
  <si>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</si>
  <si>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</si>
  <si>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</si>
  <si>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</si>
  <si>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</si>
  <si>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</si>
  <si>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</si>
  <si>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</si>
  <si>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</si>
  <si>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</si>
  <si>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</si>
  <si>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</si>
  <si>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</si>
  <si>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</si>
  <si>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</si>
  <si>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</si>
  <si>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</si>
  <si>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</si>
  <si>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</si>
  <si>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</si>
  <si>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</si>
  <si>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</si>
  <si>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</si>
  <si>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</si>
  <si>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</si>
  <si>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</si>
  <si>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</si>
  <si>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</si>
  <si>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</si>
  <si>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</si>
  <si>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</si>
  <si>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</si>
  <si>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</si>
  <si>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</si>
  <si>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</si>
  <si>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</si>
  <si>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</si>
  <si>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</si>
  <si>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</si>
  <si>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</si>
  <si>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</si>
  <si>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</si>
  <si>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</si>
  <si>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</si>
  <si>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</si>
  <si>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</si>
  <si>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</si>
  <si>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</si>
  <si>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</si>
  <si>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</si>
  <si>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</si>
  <si>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</si>
  <si>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</si>
  <si>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</si>
  <si>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</si>
  <si>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</si>
  <si>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</si>
  <si>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</si>
  <si>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</si>
  <si>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</si>
  <si>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</si>
  <si>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</si>
  <si>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</si>
  <si>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</si>
  <si>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</si>
  <si>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</si>
  <si>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</si>
  <si>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</si>
  <si>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</si>
  <si>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</si>
  <si>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</si>
  <si>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</si>
  <si>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</si>
  <si>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</si>
  <si>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</si>
  <si>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</si>
  <si>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</si>
  <si>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</si>
  <si>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</si>
  <si>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</si>
  <si>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</si>
  <si>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</si>
  <si>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</si>
  <si>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</si>
  <si>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</si>
  <si>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</si>
  <si>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</si>
  <si>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</si>
  <si>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</si>
  <si>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</si>
  <si>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</si>
  <si>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</si>
  <si>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</si>
  <si>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</si>
  <si>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</si>
  <si>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</si>
  <si>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</si>
  <si>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</si>
  <si>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</si>
  <si>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</si>
  <si>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</si>
  <si>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</si>
  <si>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</si>
  <si>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</si>
  <si>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</si>
  <si>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</si>
  <si>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</si>
  <si>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</si>
  <si>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</si>
  <si>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</si>
  <si>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</si>
  <si>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</si>
  <si>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</si>
  <si>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</si>
  <si>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</si>
  <si>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</si>
  <si>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</si>
  <si>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</si>
  <si>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</si>
  <si>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</si>
  <si>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</si>
  <si>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</si>
  <si>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</si>
  <si>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</si>
  <si>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</si>
  <si>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</si>
  <si>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</si>
  <si>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</si>
  <si>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</si>
  <si>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</si>
  <si>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</si>
  <si>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</si>
  <si>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</si>
  <si>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</si>
  <si>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</si>
  <si>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</si>
  <si>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</si>
  <si>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</si>
  <si>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</si>
  <si>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</si>
  <si>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</si>
  <si>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</si>
  <si>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</si>
  <si>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</si>
  <si>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</si>
  <si>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</si>
  <si>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</si>
  <si>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</si>
  <si>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</si>
  <si>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</si>
  <si>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</si>
  <si>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</si>
  <si>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</si>
  <si>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</si>
  <si>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</si>
  <si>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</si>
  <si>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</si>
  <si>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</si>
  <si>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</si>
  <si>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</si>
  <si>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</si>
  <si>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</si>
  <si>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</si>
  <si>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</si>
  <si>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</si>
  <si>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</si>
  <si>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</si>
  <si>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</si>
  <si>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</si>
  <si>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</si>
  <si>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</si>
  <si>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</si>
  <si>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</si>
  <si>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</si>
  <si>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</si>
  <si>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</si>
  <si>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</si>
  <si>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</si>
  <si>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</si>
  <si>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</si>
  <si>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</si>
  <si>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</si>
  <si>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</si>
  <si>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</si>
  <si>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</si>
  <si>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</si>
  <si>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</si>
  <si>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</si>
  <si>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</si>
  <si>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</si>
  <si>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</si>
  <si>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</si>
  <si>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</si>
  <si>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</si>
  <si>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</si>
  <si>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</si>
  <si>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</si>
  <si>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</si>
  <si>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</si>
  <si>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</si>
  <si>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</si>
  <si>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</si>
  <si>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</si>
  <si>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</si>
  <si>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</si>
  <si>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</si>
  <si>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</si>
  <si>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</si>
  <si>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</si>
  <si>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</si>
  <si>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</si>
  <si>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</si>
  <si>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</si>
  <si>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</si>
  <si>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</si>
  <si>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</si>
  <si>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</si>
  <si>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</si>
  <si>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</si>
  <si>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</si>
  <si>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</si>
  <si>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</si>
  <si>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</si>
  <si>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</si>
  <si>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</si>
  <si>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</si>
  <si>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</si>
  <si>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</si>
  <si>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</si>
  <si>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</si>
  <si>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</si>
  <si>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</si>
  <si>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</si>
  <si>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</si>
  <si>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</si>
  <si>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</si>
  <si>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</si>
  <si>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</si>
  <si>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</si>
  <si>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</si>
  <si>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</si>
  <si>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</si>
  <si>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</si>
  <si>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</si>
  <si>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</si>
  <si>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</si>
  <si>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</si>
  <si>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</si>
  <si>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</si>
  <si>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</si>
  <si>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</si>
  <si>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</si>
  <si>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</si>
  <si>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</si>
  <si>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</si>
  <si>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</si>
  <si>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</si>
  <si>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</si>
  <si>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</si>
  <si>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</si>
  <si>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</si>
  <si>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</si>
  <si>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</si>
  <si>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</si>
  <si>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</si>
  <si>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</si>
  <si>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</si>
  <si>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</si>
  <si>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</si>
  <si>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</si>
  <si>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</si>
  <si>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</si>
  <si>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</si>
  <si>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</si>
  <si>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</si>
  <si>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</si>
  <si>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</si>
  <si>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</si>
  <si>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</si>
  <si>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</si>
  <si>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</si>
  <si>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</si>
  <si>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</si>
  <si>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</si>
  <si>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</si>
  <si>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</si>
  <si>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</si>
  <si>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</si>
  <si>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</si>
  <si>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</si>
  <si>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</si>
  <si>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</si>
  <si>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</si>
  <si>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</si>
  <si>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</si>
  <si>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</si>
  <si>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</si>
  <si>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</si>
  <si>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</si>
  <si>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</si>
  <si>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</si>
  <si>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</si>
  <si>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</si>
  <si>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</si>
  <si>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</si>
  <si>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</si>
  <si>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</si>
  <si>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</si>
  <si>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</si>
  <si>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</si>
  <si>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</si>
  <si>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</si>
  <si>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</si>
  <si>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</si>
  <si>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</si>
  <si>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</si>
  <si>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</si>
  <si>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</si>
  <si>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</si>
  <si>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</si>
  <si>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</si>
  <si>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</si>
  <si>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</si>
  <si>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</si>
  <si>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</si>
  <si>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</si>
  <si>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</si>
  <si>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</si>
  <si>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</si>
  <si>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</si>
  <si>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</si>
  <si>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</si>
  <si>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</si>
  <si>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</si>
  <si>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</si>
  <si>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</si>
  <si>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</si>
  <si>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</si>
  <si>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</si>
  <si>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</si>
  <si>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</si>
  <si>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</si>
  <si>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</si>
  <si>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</si>
  <si>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</si>
  <si>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</si>
  <si>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</si>
  <si>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</si>
  <si>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</si>
  <si>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</si>
  <si>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</si>
  <si>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</si>
  <si>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</si>
  <si>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</si>
  <si>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</si>
  <si>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</si>
  <si>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</si>
  <si>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</si>
  <si>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</si>
  <si>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</si>
  <si>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</si>
  <si>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</si>
  <si>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</si>
  <si>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</si>
  <si>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</si>
  <si>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</si>
  <si>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</si>
  <si>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</si>
  <si>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</si>
  <si>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</si>
  <si>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</si>
  <si>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</si>
  <si>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</si>
  <si>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</si>
  <si>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</si>
  <si>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</si>
  <si>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</si>
  <si>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</si>
  <si>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</si>
  <si>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</si>
  <si>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</si>
  <si>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</si>
  <si>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</si>
  <si>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</si>
  <si>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</si>
  <si>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</si>
  <si>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</si>
  <si>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</si>
  <si>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</si>
  <si>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</si>
  <si>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</si>
  <si>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</si>
  <si>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</si>
  <si>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</si>
  <si>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</si>
  <si>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</si>
  <si>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</si>
  <si>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</si>
  <si>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</si>
  <si>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</si>
  <si>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</si>
  <si>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</si>
  <si>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</si>
  <si>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</si>
  <si>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</si>
  <si>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</si>
  <si>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</si>
  <si>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</si>
  <si>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</si>
  <si>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</si>
  <si>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</si>
  <si>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</si>
  <si>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</si>
  <si>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</si>
  <si>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</si>
  <si>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</si>
  <si>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</si>
  <si>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</si>
  <si>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</si>
  <si>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</si>
  <si>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</si>
  <si>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</si>
  <si>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</si>
  <si>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</si>
  <si>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</si>
  <si>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</si>
  <si>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</si>
  <si>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</si>
  <si>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</si>
  <si>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</si>
  <si>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</si>
  <si>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</si>
  <si>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</si>
  <si>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</si>
  <si>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</si>
  <si>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</si>
  <si>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</si>
  <si>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</si>
  <si>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</si>
  <si>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</si>
  <si>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</si>
  <si>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</si>
  <si>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</si>
  <si>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</si>
  <si>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</si>
  <si>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</si>
  <si>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</si>
  <si>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</si>
  <si>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</si>
  <si>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</si>
  <si>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</si>
  <si>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</si>
  <si>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</si>
  <si>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</si>
  <si>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</si>
  <si>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</si>
  <si>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</si>
  <si>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</si>
  <si>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</si>
  <si>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</si>
  <si>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</si>
  <si>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</si>
  <si>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</si>
  <si>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</si>
  <si>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</si>
  <si>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</si>
  <si>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</si>
  <si>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</si>
  <si>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</si>
  <si>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</si>
  <si>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</si>
  <si>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</si>
  <si>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</si>
  <si>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</si>
  <si>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</si>
  <si>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</si>
  <si>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</si>
  <si>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</si>
  <si>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</si>
  <si>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</si>
  <si>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</si>
  <si>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</si>
  <si>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</si>
  <si>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</si>
  <si>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</si>
  <si>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</si>
  <si>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</si>
  <si>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</si>
  <si>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</si>
  <si>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</si>
  <si>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</si>
  <si>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</si>
  <si>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</si>
  <si>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</si>
  <si>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</si>
  <si>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</si>
  <si>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</si>
  <si>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</si>
  <si>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</si>
  <si>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</si>
  <si>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</si>
  <si>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</si>
  <si>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</si>
  <si>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</si>
  <si>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</si>
  <si>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</si>
  <si>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</si>
  <si>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</si>
  <si>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</si>
  <si>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</si>
  <si>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</si>
  <si>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</si>
  <si>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</si>
  <si>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</si>
  <si>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</si>
  <si>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</si>
  <si>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</si>
  <si>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</si>
  <si>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</si>
  <si>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</si>
  <si>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</si>
  <si>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</si>
  <si>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</si>
  <si>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</si>
  <si>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</si>
  <si>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</si>
  <si>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</si>
  <si>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</si>
  <si>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</si>
  <si>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</si>
  <si>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</si>
  <si>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</si>
  <si>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</si>
  <si>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</si>
  <si>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</si>
  <si>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</si>
  <si>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</si>
  <si>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</si>
  <si>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</si>
  <si>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</si>
  <si>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</si>
  <si>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</si>
  <si>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</si>
  <si>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</si>
  <si>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</si>
  <si>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</si>
  <si>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</si>
  <si>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</si>
  <si>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</si>
  <si>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</si>
  <si>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</si>
  <si>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</si>
  <si>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</si>
  <si>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</si>
  <si>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</si>
  <si>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</si>
  <si>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</si>
  <si>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</si>
  <si>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</si>
  <si>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</si>
  <si>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</si>
  <si>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</si>
  <si>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</si>
  <si>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</si>
  <si>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</si>
  <si>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</si>
  <si>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</si>
  <si>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</si>
  <si>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</si>
  <si>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</si>
  <si>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</si>
  <si>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</si>
  <si>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</si>
  <si>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</si>
  <si>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</si>
  <si>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</si>
  <si>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</si>
  <si>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</si>
  <si>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</si>
  <si>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</si>
  <si>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</si>
  <si>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</si>
  <si>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</si>
  <si>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</si>
  <si>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</si>
  <si>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</si>
  <si>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</si>
  <si>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</si>
  <si>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</si>
  <si>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</si>
  <si>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</si>
  <si>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</si>
  <si>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</si>
  <si>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</si>
  <si>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</si>
  <si>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</si>
  <si>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</si>
  <si>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</si>
  <si>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</si>
  <si>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</si>
  <si>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</si>
  <si>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</si>
  <si>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</si>
  <si>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</si>
  <si>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</si>
  <si>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</si>
  <si>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</si>
  <si>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</si>
  <si>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</si>
  <si>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</si>
  <si>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</si>
  <si>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</si>
  <si>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</si>
  <si>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</si>
  <si>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</si>
  <si>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</si>
  <si>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</si>
  <si>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</si>
  <si>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</si>
  <si>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</si>
  <si>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</si>
  <si>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</si>
  <si>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</si>
  <si>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</si>
  <si>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</si>
  <si>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</si>
  <si>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</si>
  <si>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</si>
  <si>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</si>
  <si>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</si>
  <si>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</si>
  <si>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</si>
  <si>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</si>
  <si>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</si>
  <si>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</si>
  <si>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</si>
  <si>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</si>
  <si>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</si>
  <si>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</si>
  <si>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</si>
  <si>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</si>
  <si>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</si>
  <si>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</si>
  <si>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</si>
  <si>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</si>
  <si>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</si>
  <si>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</si>
  <si>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</si>
  <si>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</si>
  <si>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</si>
  <si>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</si>
  <si>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</si>
  <si>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</si>
  <si>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</si>
  <si>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</si>
  <si>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</si>
  <si>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</si>
  <si>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</si>
  <si>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</si>
  <si>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</si>
  <si>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</si>
  <si>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</si>
  <si>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</si>
  <si>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</si>
  <si>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</si>
  <si>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</si>
  <si>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</si>
  <si>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</si>
  <si>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</si>
  <si>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</si>
  <si>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</si>
  <si>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</si>
  <si>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</si>
  <si>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</si>
  <si>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</si>
  <si>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</si>
  <si>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</si>
  <si>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</si>
  <si>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</si>
  <si>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</si>
  <si>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</si>
  <si>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</si>
  <si>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</si>
  <si>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</si>
  <si>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</si>
  <si>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</si>
  <si>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</si>
  <si>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</si>
  <si>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</si>
  <si>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</si>
  <si>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</si>
  <si>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</si>
  <si>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</si>
  <si>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</si>
  <si>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</si>
  <si>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</si>
  <si>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</si>
  <si>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</si>
  <si>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</si>
  <si>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</si>
  <si>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</si>
  <si>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</si>
  <si>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</si>
  <si>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</si>
  <si>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</si>
  <si>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</si>
  <si>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</si>
  <si>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</si>
  <si>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</si>
  <si>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</si>
  <si>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</si>
  <si>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</si>
  <si>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</si>
  <si>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</si>
  <si>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</si>
  <si>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</si>
  <si>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</si>
  <si>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</si>
  <si>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</si>
  <si>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</si>
  <si>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</si>
  <si>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</si>
  <si>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</si>
  <si>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</si>
  <si>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</si>
  <si>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</si>
  <si>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</si>
  <si>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</si>
  <si>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</si>
  <si>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</si>
  <si>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</si>
  <si>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</si>
  <si>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</si>
  <si>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</si>
  <si>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</si>
  <si>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</si>
  <si>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</si>
  <si>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</si>
  <si>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</si>
  <si>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</si>
  <si>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</si>
  <si>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</si>
  <si>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</si>
  <si>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</si>
  <si>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</si>
  <si>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</si>
  <si>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</si>
  <si>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</si>
  <si>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</si>
  <si>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</si>
  <si>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</si>
  <si>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</si>
  <si>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</si>
  <si>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</si>
  <si>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</si>
  <si>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</si>
  <si>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</si>
  <si>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</si>
  <si>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</si>
  <si>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</si>
  <si>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</si>
  <si>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</si>
  <si>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</si>
  <si>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</si>
  <si>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</si>
  <si>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</si>
  <si>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</si>
  <si>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</si>
  <si>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</si>
  <si>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</si>
  <si>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</si>
  <si>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</si>
  <si>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</si>
  <si>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</si>
  <si>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</si>
  <si>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</si>
  <si>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</si>
  <si>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</si>
  <si>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</si>
  <si>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</si>
  <si>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</si>
  <si>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</si>
  <si>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</si>
  <si>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</si>
  <si>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</si>
  <si>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</si>
  <si>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</si>
  <si>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</si>
  <si>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</si>
  <si>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</si>
  <si>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</si>
  <si>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</si>
  <si>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</si>
  <si>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</si>
  <si>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</si>
  <si>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</si>
  <si>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</si>
  <si>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</si>
  <si>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</si>
  <si>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</si>
  <si>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</si>
  <si>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</si>
  <si>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</si>
  <si>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</si>
  <si>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</si>
  <si>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</si>
  <si>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</si>
  <si>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</si>
  <si>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</si>
  <si>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</si>
  <si>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</si>
  <si>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</si>
  <si>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</si>
  <si>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</si>
  <si>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</si>
  <si>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</si>
  <si>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</si>
  <si>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</si>
  <si>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</si>
  <si>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</si>
  <si>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</si>
  <si>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</si>
  <si>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</si>
  <si>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</si>
  <si>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</si>
  <si>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</si>
  <si>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</si>
  <si>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</si>
  <si>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</si>
  <si>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</si>
  <si>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</si>
  <si>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</si>
  <si>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</si>
  <si>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</si>
  <si>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</si>
  <si>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</si>
  <si>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</si>
  <si>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</si>
  <si>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</si>
  <si>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</si>
  <si>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</si>
  <si>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</si>
  <si>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</si>
  <si>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</si>
  <si>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</si>
  <si>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</si>
  <si>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</si>
  <si>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</si>
  <si>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</si>
  <si>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</si>
  <si>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</si>
  <si>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</si>
  <si>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</si>
  <si>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</si>
  <si>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</si>
  <si>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</si>
  <si>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</si>
  <si>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</si>
  <si>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</si>
  <si>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</si>
  <si>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</si>
  <si>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</si>
  <si>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</si>
  <si>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</si>
  <si>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</si>
  <si>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</si>
  <si>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</si>
  <si>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</si>
  <si>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</si>
  <si>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</si>
  <si>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</si>
  <si>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</si>
  <si>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</si>
  <si>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</si>
  <si>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</si>
  <si>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</si>
  <si>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</si>
  <si>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</si>
  <si>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</si>
  <si>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</si>
  <si>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</si>
  <si>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</si>
  <si>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</si>
  <si>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</si>
  <si>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</si>
  <si>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</si>
  <si>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</si>
  <si>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</si>
  <si>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</si>
  <si>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</si>
  <si>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</si>
  <si>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</si>
  <si>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</si>
  <si>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</si>
  <si>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</si>
  <si>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</si>
  <si>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</si>
  <si>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</si>
  <si>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</si>
  <si>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</si>
  <si>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</si>
  <si>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</si>
  <si>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</si>
  <si>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</si>
  <si>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</si>
  <si>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</si>
  <si>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</si>
  <si>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</si>
  <si>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</si>
  <si>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</si>
  <si>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</si>
  <si>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</si>
  <si>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</si>
  <si>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</si>
  <si>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</si>
  <si>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</si>
  <si>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</si>
  <si>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</si>
  <si>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</si>
  <si>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</si>
  <si>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</si>
  <si>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</si>
  <si>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</si>
  <si>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</si>
  <si>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</si>
  <si>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</si>
  <si>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</si>
  <si>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</si>
  <si>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</si>
  <si>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</si>
  <si>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</si>
  <si>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</si>
  <si>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</si>
  <si>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</si>
  <si>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</si>
  <si>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</si>
  <si>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</si>
  <si>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</si>
  <si>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</si>
  <si>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</si>
  <si>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</si>
  <si>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</si>
  <si>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</si>
  <si>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</si>
  <si>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</si>
  <si>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</si>
  <si>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</si>
  <si>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</si>
  <si>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</si>
  <si>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</si>
  <si>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</si>
  <si>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</si>
  <si>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</si>
  <si>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</si>
  <si>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</si>
  <si>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</si>
  <si>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</si>
  <si>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</si>
  <si>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</si>
  <si>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</si>
  <si>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</si>
  <si>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</si>
  <si>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</si>
  <si>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</si>
  <si>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</si>
  <si>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</si>
  <si>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</si>
  <si>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</si>
  <si>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</si>
  <si>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</si>
  <si>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</si>
  <si>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</si>
  <si>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</si>
  <si>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</si>
  <si>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</si>
  <si>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</si>
  <si>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</si>
  <si>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</si>
  <si>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</si>
  <si>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</si>
  <si>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</si>
  <si>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</si>
  <si>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</si>
  <si>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</si>
  <si>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</si>
  <si>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</si>
  <si>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</si>
  <si>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</si>
  <si>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</si>
  <si>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</si>
  <si>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</si>
  <si>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</si>
  <si>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</si>
  <si>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</si>
  <si>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</si>
  <si>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</si>
  <si>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</si>
  <si>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</si>
  <si>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</si>
  <si>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</si>
  <si>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</si>
  <si>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</si>
  <si>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</si>
  <si>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</si>
  <si>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</si>
  <si>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</si>
  <si>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</si>
  <si>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</si>
  <si>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</si>
  <si>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</si>
  <si>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</si>
  <si>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</si>
  <si>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</si>
  <si>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</si>
  <si>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</si>
  <si>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</si>
  <si>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</si>
  <si>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</si>
  <si>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</si>
  <si>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</si>
  <si>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</si>
  <si>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</si>
  <si>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</si>
  <si>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</si>
  <si>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</si>
  <si>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</si>
  <si>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</si>
  <si>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</si>
  <si>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</si>
  <si>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</si>
  <si>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</si>
  <si>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</si>
  <si>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</si>
  <si>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</si>
  <si>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</si>
  <si>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</si>
  <si>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</si>
  <si>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</si>
  <si>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</si>
  <si>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</si>
  <si>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</si>
  <si>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</si>
  <si>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</si>
  <si>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</si>
  <si>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</si>
  <si>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</si>
  <si>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</si>
  <si>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</si>
  <si>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</si>
  <si>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</si>
  <si>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</si>
  <si>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</si>
  <si>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</si>
  <si>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</si>
  <si>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</si>
  <si>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</si>
  <si>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</si>
  <si>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</si>
  <si>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</si>
  <si>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</si>
  <si>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</si>
  <si>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</si>
  <si>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</si>
  <si>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</si>
  <si>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</si>
  <si>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</si>
  <si>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</si>
  <si>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</si>
  <si>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</si>
  <si>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</si>
  <si>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</si>
  <si>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</si>
  <si>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</si>
  <si>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</si>
  <si>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</si>
  <si>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</si>
  <si>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</si>
  <si>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</si>
  <si>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</si>
  <si>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</si>
  <si>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</si>
  <si>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</si>
  <si>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</si>
  <si>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</si>
  <si>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</si>
  <si>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</si>
  <si>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</si>
  <si>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</si>
  <si>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</si>
  <si>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</si>
  <si>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</si>
  <si>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</si>
  <si>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</si>
  <si>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</si>
  <si>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</si>
  <si>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</si>
  <si>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</si>
  <si>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</si>
  <si>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</si>
  <si>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</si>
  <si>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</si>
  <si>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</si>
  <si>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</si>
  <si>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</si>
  <si>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</si>
  <si>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</si>
  <si>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</si>
  <si>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</si>
  <si>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</si>
  <si>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</si>
  <si>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</si>
  <si>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</si>
  <si>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</si>
  <si>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</si>
  <si>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</si>
  <si>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</si>
  <si>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</si>
  <si>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</si>
  <si>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</si>
  <si>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</si>
  <si>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</si>
  <si>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</si>
  <si>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</si>
  <si>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</si>
  <si>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</si>
  <si>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</si>
  <si>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</si>
  <si>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</si>
  <si>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</si>
  <si>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</si>
  <si>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</si>
  <si>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</si>
  <si>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</si>
  <si>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</si>
  <si>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</si>
  <si>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</si>
  <si>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</si>
  <si>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</si>
  <si>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</si>
  <si>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</si>
  <si>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</si>
  <si>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</si>
  <si>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</si>
  <si>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</si>
  <si>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</si>
  <si>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</si>
  <si>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</si>
  <si>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</si>
  <si>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</si>
  <si>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</si>
  <si>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</si>
  <si>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</si>
  <si>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</si>
  <si>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</si>
  <si>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</si>
  <si>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</si>
  <si>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</si>
  <si>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</si>
  <si>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</si>
  <si>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</si>
  <si>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</si>
  <si>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</si>
  <si>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</si>
  <si>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</si>
  <si>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</si>
  <si>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</si>
  <si>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</si>
  <si>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</si>
  <si>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</si>
  <si>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</si>
  <si>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</si>
  <si>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</si>
  <si>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</si>
  <si>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</si>
  <si>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</si>
  <si>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</si>
  <si>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</si>
  <si>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</si>
  <si>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</si>
  <si>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</si>
  <si>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</si>
  <si>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</si>
  <si>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</si>
  <si>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</si>
  <si>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</si>
  <si>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</si>
  <si>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</si>
  <si>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</si>
  <si>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</si>
  <si>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</si>
  <si>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</si>
  <si>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</si>
  <si>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</si>
  <si>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</si>
  <si>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</si>
  <si>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</si>
  <si>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</si>
  <si>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</si>
  <si>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</si>
  <si>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</si>
  <si>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</si>
  <si>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</si>
  <si>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</si>
  <si>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</si>
  <si>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</si>
  <si>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</si>
  <si>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</si>
  <si>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</si>
  <si>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</si>
  <si>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</si>
  <si>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</si>
  <si>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</si>
  <si>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</si>
  <si>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</si>
  <si>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</si>
  <si>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</si>
  <si>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</si>
  <si>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</si>
  <si>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</si>
  <si>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</si>
  <si>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</si>
  <si>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</si>
  <si>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</si>
  <si>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</si>
  <si>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</si>
  <si>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</si>
  <si>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</si>
  <si>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</si>
  <si>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</si>
  <si>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</si>
  <si>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</si>
  <si>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</si>
  <si>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</si>
  <si>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</si>
  <si>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</si>
  <si>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</si>
  <si>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</si>
  <si>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</si>
  <si>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</si>
  <si>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</si>
  <si>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</si>
  <si>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</si>
  <si>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</si>
  <si>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</si>
  <si>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</si>
  <si>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</si>
  <si>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</si>
  <si>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</si>
  <si>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</si>
  <si>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</si>
  <si>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</si>
  <si>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</si>
  <si>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</si>
  <si>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</si>
  <si>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</si>
  <si>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</si>
  <si>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</si>
  <si>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</si>
  <si>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</si>
  <si>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</si>
  <si>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</si>
  <si>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</si>
  <si>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</si>
  <si>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</si>
  <si>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</si>
  <si>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</si>
  <si>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</si>
  <si>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</si>
  <si>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</si>
  <si>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</si>
  <si>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</si>
  <si>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</si>
  <si>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</si>
  <si>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</si>
  <si>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</si>
  <si>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</si>
  <si>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</si>
  <si>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</si>
  <si>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</si>
  <si>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</si>
  <si>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</si>
  <si>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</si>
  <si>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</si>
  <si>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</si>
  <si>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</si>
  <si>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</si>
  <si>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</si>
  <si>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</si>
  <si>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</si>
  <si>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</si>
  <si>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</si>
  <si>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</si>
  <si>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</si>
  <si>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</si>
  <si>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</si>
  <si>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</si>
  <si>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</si>
  <si>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</si>
  <si>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</si>
  <si>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</si>
  <si>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</si>
  <si>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</si>
  <si>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</si>
  <si>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</si>
  <si>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</si>
  <si>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</si>
  <si>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</si>
  <si>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</si>
  <si>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</si>
  <si>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</si>
  <si>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</si>
  <si>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</si>
  <si>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</si>
  <si>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</si>
  <si>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</si>
  <si>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</si>
  <si>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</si>
  <si>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</si>
  <si>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</si>
  <si>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</si>
  <si>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</si>
  <si>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</si>
  <si>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</si>
  <si>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</si>
  <si>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</si>
  <si>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</si>
  <si>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</si>
  <si>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</si>
  <si>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</si>
  <si>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</si>
  <si>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</si>
  <si>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</si>
  <si>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</si>
  <si>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</si>
  <si>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</si>
  <si>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</si>
  <si>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</si>
  <si>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</si>
  <si>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</si>
  <si>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</si>
  <si>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</si>
  <si>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</si>
  <si>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</si>
  <si>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</si>
  <si>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</si>
  <si>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</si>
  <si>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</si>
  <si>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</si>
  <si>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</si>
  <si>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</si>
  <si>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</si>
  <si>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</si>
  <si>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</si>
  <si>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</si>
  <si>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</si>
  <si>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</si>
  <si>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</si>
  <si>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</si>
  <si>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</si>
  <si>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</si>
  <si>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</si>
  <si>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</si>
  <si>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</si>
  <si>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</si>
  <si>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</si>
  <si>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</si>
  <si>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</si>
  <si>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</si>
  <si>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</si>
  <si>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</si>
  <si>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</si>
  <si>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</si>
  <si>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</si>
  <si>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</si>
  <si>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</si>
  <si>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</si>
  <si>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</si>
  <si>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</si>
  <si>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</si>
  <si>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</si>
  <si>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</si>
  <si>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</si>
  <si>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</si>
  <si>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</si>
  <si>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</si>
  <si>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</si>
  <si>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</si>
  <si>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</si>
  <si>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</si>
  <si>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</si>
  <si>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</si>
  <si>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</si>
  <si>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</si>
  <si>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</si>
  <si>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</si>
  <si>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</si>
  <si>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</si>
  <si>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</si>
  <si>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</si>
  <si>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</si>
  <si>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</si>
  <si>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</si>
  <si>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</si>
  <si>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</si>
  <si>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</si>
  <si>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</si>
  <si>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</si>
  <si>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</si>
  <si>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</si>
  <si>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</si>
  <si>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</si>
  <si>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</si>
  <si>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</si>
  <si>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</si>
  <si>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</si>
  <si>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</si>
  <si>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</si>
  <si>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</si>
  <si>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</si>
  <si>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</si>
  <si>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</si>
  <si>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</si>
  <si>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</si>
  <si>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</si>
  <si>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</si>
  <si>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</si>
  <si>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</si>
  <si>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</si>
  <si>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</si>
  <si>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</si>
  <si>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</si>
  <si>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</si>
  <si>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</si>
  <si>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</si>
  <si>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</si>
  <si>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</si>
  <si>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</si>
  <si>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</si>
  <si>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</si>
  <si>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</si>
  <si>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</si>
  <si>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</si>
  <si>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</si>
  <si>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</si>
  <si>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</si>
  <si>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</si>
  <si>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</si>
  <si>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</si>
  <si>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</si>
  <si>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</si>
  <si>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</si>
  <si>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</si>
  <si>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</si>
  <si>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</si>
  <si>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</si>
  <si>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</si>
  <si>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</si>
  <si>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</si>
  <si>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</si>
  <si>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</si>
  <si>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</si>
  <si>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</si>
  <si>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</si>
  <si>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</si>
  <si>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</si>
  <si>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</si>
  <si>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</si>
  <si>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</si>
  <si>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</si>
  <si>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</si>
  <si>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</si>
  <si>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</si>
  <si>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</si>
  <si>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</si>
  <si>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</si>
  <si>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</si>
  <si>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</si>
  <si>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</si>
  <si>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</si>
  <si>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</si>
  <si>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</si>
  <si>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</si>
  <si>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</si>
  <si>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</si>
  <si>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</si>
  <si>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</si>
  <si>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</si>
  <si>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</si>
  <si>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</si>
  <si>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</si>
  <si>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</si>
  <si>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</si>
  <si>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</si>
  <si>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</si>
  <si>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</si>
  <si>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</si>
  <si>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</si>
  <si>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</si>
  <si>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</si>
  <si>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</si>
  <si>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</si>
  <si>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</si>
  <si>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</si>
  <si>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</si>
  <si>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</si>
  <si>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</si>
  <si>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</si>
  <si>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</si>
  <si>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</si>
  <si>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</si>
  <si>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</si>
  <si>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</si>
  <si>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</si>
  <si>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</si>
  <si>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</si>
  <si>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</si>
  <si>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</si>
  <si>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</si>
  <si>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</si>
  <si>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</si>
  <si>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</si>
  <si>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</si>
  <si>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</si>
  <si>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</si>
  <si>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</si>
  <si>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</si>
  <si>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</si>
  <si>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</si>
  <si>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</si>
  <si>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</si>
  <si>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</si>
  <si>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</si>
  <si>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</si>
  <si>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</si>
  <si>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</si>
  <si>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</si>
  <si>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</si>
  <si>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</si>
  <si>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</si>
  <si>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</si>
  <si>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</si>
  <si>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</si>
  <si>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</si>
  <si>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</si>
  <si>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</si>
  <si>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</si>
  <si>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</si>
  <si>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</si>
  <si>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</si>
  <si>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</si>
  <si>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</si>
  <si>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</si>
  <si>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</si>
  <si>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</si>
  <si>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</si>
  <si>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</si>
  <si>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</si>
  <si>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</si>
  <si>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</si>
  <si>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</si>
  <si>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</si>
  <si>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</si>
  <si>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</si>
  <si>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</si>
  <si>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</si>
  <si>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</si>
  <si>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</si>
  <si>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</si>
  <si>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</si>
  <si>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</si>
  <si>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</si>
  <si>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</si>
  <si>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</si>
  <si>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</si>
  <si>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</si>
  <si>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</si>
  <si>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</si>
  <si>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</si>
  <si>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</si>
  <si>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</si>
  <si>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</si>
  <si>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</si>
  <si>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</si>
  <si>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</si>
  <si>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</si>
  <si>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</si>
  <si>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</si>
  <si>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</si>
  <si>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</si>
  <si>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</si>
  <si>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</si>
  <si>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</si>
  <si>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</si>
  <si>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</si>
  <si>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</si>
  <si>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</si>
  <si>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</si>
  <si>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</si>
  <si>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</si>
  <si>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</si>
  <si>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</si>
  <si>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</si>
  <si>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</si>
  <si>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</si>
  <si>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</si>
  <si>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</si>
  <si>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</si>
  <si>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</si>
  <si>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</si>
  <si>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</si>
  <si>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</si>
  <si>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</si>
  <si>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</si>
  <si>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</si>
  <si>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</si>
  <si>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</si>
  <si>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</si>
  <si>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</si>
  <si>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</si>
  <si>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</si>
  <si>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</si>
  <si>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</si>
  <si>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</si>
  <si>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</si>
  <si>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</si>
  <si>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</si>
  <si>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</si>
  <si>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</si>
  <si>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</si>
  <si>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</si>
  <si>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</si>
  <si>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</si>
  <si>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</si>
  <si>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</si>
  <si>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</si>
  <si>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</si>
  <si>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</si>
  <si>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</si>
  <si>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</si>
  <si>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</si>
  <si>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</si>
  <si>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</si>
  <si>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</si>
  <si>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</si>
  <si>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</si>
  <si>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</si>
  <si>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</si>
  <si>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</si>
  <si>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</si>
  <si>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</si>
  <si>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</si>
  <si>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</si>
  <si>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</si>
  <si>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</si>
  <si>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</si>
  <si>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</si>
  <si>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</si>
  <si>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</si>
  <si>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</si>
  <si>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</si>
  <si>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</si>
  <si>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</si>
  <si>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</si>
  <si>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</si>
  <si>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</si>
  <si>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</si>
  <si>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</si>
  <si>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</si>
  <si>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</si>
  <si>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</si>
  <si>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</si>
  <si>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</si>
  <si>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</si>
  <si>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</si>
  <si>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</si>
  <si>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</si>
  <si>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</si>
  <si>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</si>
  <si>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</si>
  <si>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</si>
  <si>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</si>
  <si>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</si>
  <si>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</si>
  <si>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</si>
  <si>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</si>
  <si>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</si>
  <si>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</si>
  <si>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</si>
  <si>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</si>
  <si>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</si>
  <si>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</si>
  <si>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</si>
  <si>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</si>
  <si>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</si>
  <si>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</si>
  <si>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</si>
  <si>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</si>
  <si>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</si>
  <si>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</si>
  <si>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</si>
  <si>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</si>
  <si>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</si>
  <si>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</si>
  <si>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</si>
  <si>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</si>
  <si>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</si>
  <si>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</si>
  <si>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</si>
  <si>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</si>
  <si>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</si>
  <si>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</si>
  <si>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</si>
  <si>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</si>
  <si>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</si>
  <si>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</si>
  <si>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</si>
  <si>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</si>
  <si>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</si>
  <si>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</si>
  <si>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</si>
  <si>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</si>
  <si>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</si>
  <si>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</si>
  <si>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</si>
  <si>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</si>
  <si>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</si>
  <si>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</si>
  <si>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</si>
  <si>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</si>
  <si>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</si>
  <si>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</si>
  <si>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</si>
  <si>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</si>
  <si>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</si>
  <si>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</si>
  <si>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</si>
  <si>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</si>
  <si>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</si>
  <si>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</si>
  <si>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</si>
  <si>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</si>
  <si>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</si>
  <si>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</si>
  <si>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</si>
  <si>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</si>
  <si>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</si>
  <si>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</si>
  <si>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</si>
  <si>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</si>
  <si>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</si>
  <si>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</si>
  <si>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</si>
  <si>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</si>
  <si>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</si>
  <si>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</si>
  <si>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</si>
  <si>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</si>
  <si>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</si>
  <si>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</si>
  <si>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</si>
  <si>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</si>
  <si>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</si>
  <si>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</si>
  <si>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</si>
  <si>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</si>
  <si>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</si>
  <si>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</si>
  <si>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</si>
  <si>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</si>
  <si>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</si>
  <si>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</si>
  <si>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</si>
  <si>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</si>
  <si>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</si>
  <si>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</si>
  <si>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</si>
  <si>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</si>
  <si>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</si>
  <si>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</si>
  <si>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</si>
  <si>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</si>
  <si>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</si>
  <si>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</si>
  <si>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</si>
  <si>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</si>
  <si>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</si>
  <si>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</si>
  <si>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</si>
  <si>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</si>
  <si>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</si>
  <si>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</si>
  <si>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</si>
  <si>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</si>
  <si>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</si>
  <si>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</si>
  <si>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</si>
  <si>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</si>
  <si>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</si>
  <si>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</si>
  <si>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</si>
  <si>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</si>
  <si>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</si>
  <si>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</si>
  <si>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</si>
  <si>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</si>
  <si>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</si>
  <si>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</si>
  <si>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</si>
  <si>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</si>
  <si>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</si>
  <si>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</si>
  <si>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</si>
  <si>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</si>
  <si>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</si>
  <si>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</si>
  <si>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</si>
  <si>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</si>
  <si>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</si>
  <si>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</si>
  <si>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</si>
  <si>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</si>
  <si>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</si>
  <si>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</si>
  <si>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</si>
  <si>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</si>
  <si>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</si>
  <si>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</si>
  <si>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</si>
  <si>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</si>
  <si>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</si>
  <si>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</si>
  <si>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</si>
  <si>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</si>
  <si>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</si>
  <si>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</si>
  <si>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</si>
  <si>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</si>
  <si>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</si>
  <si>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</si>
  <si>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</si>
  <si>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</si>
  <si>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</si>
  <si>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</si>
  <si>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</si>
  <si>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</si>
  <si>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</si>
  <si>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</si>
  <si>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</si>
  <si>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</si>
  <si>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</si>
  <si>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</si>
  <si>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</si>
  <si>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</si>
  <si>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</si>
  <si>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</si>
  <si>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</si>
  <si>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</si>
  <si>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</si>
  <si>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</si>
  <si>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</si>
  <si>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</si>
  <si>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</si>
  <si>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</si>
  <si>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</si>
  <si>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</si>
  <si>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</si>
  <si>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</si>
  <si>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</si>
  <si>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</si>
  <si>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</si>
  <si>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</si>
  <si>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</si>
  <si>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</si>
  <si>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</si>
  <si>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</si>
  <si>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</si>
  <si>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</si>
  <si>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</si>
  <si>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</si>
  <si>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</si>
  <si>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</si>
  <si>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</si>
  <si>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</si>
  <si>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</si>
  <si>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</si>
  <si>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</si>
  <si>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</si>
  <si>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</si>
  <si>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</si>
  <si>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</si>
  <si>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</si>
  <si>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</si>
  <si>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</si>
  <si>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</si>
  <si>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</si>
  <si>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</si>
  <si>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</si>
  <si>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</si>
  <si>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</si>
  <si>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</si>
  <si>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</si>
  <si>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</si>
  <si>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</si>
  <si>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</si>
  <si>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</si>
  <si>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</si>
  <si>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</si>
  <si>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</si>
  <si>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</si>
  <si>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</si>
  <si>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</si>
  <si>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</si>
  <si>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</si>
  <si>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</si>
  <si>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</si>
  <si>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</si>
  <si>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</si>
  <si>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</si>
  <si>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</si>
  <si>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</si>
  <si>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</si>
  <si>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</si>
  <si>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</si>
  <si>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</si>
  <si>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</si>
  <si>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</si>
  <si>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</si>
  <si>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</si>
  <si>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</si>
  <si>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</si>
  <si>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</si>
  <si>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</si>
  <si>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</si>
  <si>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</si>
  <si>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</si>
  <si>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</si>
  <si>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</si>
  <si>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</si>
  <si>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</si>
  <si>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</si>
  <si>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</si>
  <si>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</si>
  <si>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</si>
  <si>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</si>
  <si>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</si>
  <si>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</si>
  <si>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</si>
  <si>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</si>
  <si>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</si>
  <si>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</si>
  <si>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</si>
  <si>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</si>
  <si>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</si>
  <si>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</si>
  <si>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</si>
  <si>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</si>
  <si>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</si>
  <si>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</si>
  <si>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</si>
  <si>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</si>
  <si>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</si>
  <si>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</si>
  <si>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</si>
  <si>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</si>
  <si>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</si>
  <si>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</si>
  <si>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</si>
  <si>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</si>
  <si>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</si>
  <si>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</si>
  <si>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</si>
  <si>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</si>
  <si>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</si>
  <si>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</si>
  <si>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</si>
  <si>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</si>
  <si>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</si>
  <si>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</si>
  <si>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</si>
  <si>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</si>
  <si>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</si>
  <si>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</si>
  <si>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</si>
  <si>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</si>
  <si>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</si>
  <si>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</si>
  <si>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</si>
  <si>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</si>
  <si>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</si>
  <si>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</si>
  <si>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</si>
  <si>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</si>
  <si>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</si>
  <si>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</si>
  <si>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</si>
  <si>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</si>
  <si>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</si>
  <si>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</si>
  <si>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</si>
  <si>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</si>
  <si>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</si>
  <si>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</si>
  <si>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</si>
  <si>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</si>
  <si>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</si>
  <si>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</si>
  <si>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</si>
  <si>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</si>
  <si>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</si>
  <si>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</si>
  <si>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</si>
  <si>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</si>
  <si>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</si>
  <si>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</si>
  <si>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</si>
  <si>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</si>
  <si>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</si>
  <si>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</si>
  <si>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</si>
  <si>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</si>
  <si>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</si>
  <si>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</si>
  <si>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</si>
  <si>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</si>
  <si>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</si>
  <si>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</si>
  <si>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</si>
  <si>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</si>
  <si>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</si>
  <si>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</si>
  <si>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</si>
  <si>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</si>
  <si>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</si>
  <si>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</si>
  <si>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</si>
  <si>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</si>
  <si>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</si>
  <si>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</si>
  <si>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</si>
  <si>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</si>
  <si>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</si>
  <si>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</si>
  <si>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</si>
  <si>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</si>
  <si>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</si>
  <si>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</si>
  <si>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</si>
  <si>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</si>
  <si>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</si>
  <si>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</si>
  <si>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</si>
  <si>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</si>
  <si>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</si>
  <si>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</si>
  <si>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</si>
  <si>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</si>
  <si>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</si>
  <si>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</si>
  <si>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</si>
  <si>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</si>
  <si>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</si>
  <si>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</si>
  <si>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</si>
  <si>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</si>
  <si>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</si>
  <si>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</si>
  <si>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</si>
  <si>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</si>
  <si>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</si>
  <si>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</si>
  <si>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</si>
  <si>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</si>
  <si>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</si>
  <si>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</si>
  <si>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</si>
  <si>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</si>
  <si>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</si>
  <si>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</si>
  <si>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</si>
  <si>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</si>
  <si>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</si>
  <si>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</si>
  <si>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</si>
  <si>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</si>
  <si>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</si>
  <si>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</si>
  <si>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</si>
  <si>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</si>
  <si>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</si>
  <si>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</si>
  <si>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</si>
  <si>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</si>
  <si>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</si>
  <si>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</si>
  <si>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</si>
  <si>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</si>
  <si>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</si>
  <si>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</si>
  <si>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</si>
  <si>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</si>
  <si>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</si>
  <si>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</si>
  <si>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</si>
  <si>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</si>
  <si>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</si>
  <si>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</si>
  <si>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</si>
  <si>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</si>
  <si>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</si>
  <si>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</si>
  <si>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</si>
  <si>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</si>
  <si>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</si>
  <si>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</si>
  <si>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</si>
  <si>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</si>
  <si>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</si>
  <si>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</si>
  <si>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</si>
  <si>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</si>
  <si>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</si>
  <si>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</si>
  <si>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</si>
  <si>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</si>
  <si>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</si>
  <si>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</si>
  <si>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</si>
  <si>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</si>
  <si>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</si>
  <si>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</si>
  <si>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</si>
  <si>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</si>
  <si>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</si>
  <si>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</si>
  <si>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</si>
  <si>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</si>
  <si>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</si>
  <si>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</si>
  <si>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</si>
  <si>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</si>
  <si>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</si>
  <si>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</si>
  <si>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</si>
  <si>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</si>
  <si>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</si>
  <si>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</si>
  <si>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</si>
  <si>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</si>
  <si>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</si>
  <si>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</si>
  <si>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</si>
  <si>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</si>
  <si>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</si>
  <si>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</si>
  <si>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</si>
  <si>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</si>
  <si>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</si>
  <si>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</si>
  <si>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</si>
  <si>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</si>
  <si>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</si>
  <si>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</si>
  <si>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</si>
  <si>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</si>
  <si>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</si>
  <si>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</si>
  <si>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</si>
  <si>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</si>
  <si>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</si>
  <si>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</si>
  <si>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</si>
  <si>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</si>
  <si>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</si>
  <si>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</si>
  <si>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</si>
  <si>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</si>
  <si>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</si>
  <si>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</si>
  <si>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</si>
  <si>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</si>
  <si>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</si>
  <si>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</si>
  <si>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</si>
  <si>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</si>
  <si>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</si>
  <si>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</si>
  <si>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</si>
  <si>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</si>
  <si>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</si>
  <si>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</si>
  <si>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</si>
  <si>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</si>
  <si>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</si>
  <si>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</si>
  <si>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</si>
  <si>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</si>
  <si>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</si>
  <si>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</si>
  <si>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</si>
  <si>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</si>
  <si>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</si>
  <si>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</si>
  <si>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</si>
  <si>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</si>
  <si>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</si>
  <si>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</si>
  <si>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</si>
  <si>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</si>
  <si>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</si>
  <si>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</si>
  <si>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</si>
  <si>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</si>
  <si>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</si>
  <si>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</si>
  <si>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</si>
  <si>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</si>
  <si>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</si>
  <si>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</si>
  <si>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</si>
  <si>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</si>
  <si>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</si>
  <si>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</si>
  <si>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</si>
  <si>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</si>
  <si>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</si>
  <si>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</si>
  <si>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</si>
  <si>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</si>
  <si>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</si>
  <si>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</si>
  <si>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</si>
  <si>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</si>
  <si>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</si>
  <si>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</si>
  <si>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</si>
  <si>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</si>
  <si>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</si>
  <si>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</si>
  <si>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</si>
  <si>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</si>
  <si>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</si>
  <si>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</si>
  <si>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</si>
  <si>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</si>
  <si>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</si>
  <si>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</si>
  <si>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</si>
  <si>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</si>
  <si>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</si>
  <si>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</si>
  <si>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</si>
  <si>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</si>
  <si>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</si>
  <si>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</si>
  <si>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</si>
  <si>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</si>
  <si>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</si>
  <si>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</si>
  <si>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</si>
  <si>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</si>
  <si>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</si>
  <si>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</si>
  <si>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</si>
  <si>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</si>
  <si>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</si>
  <si>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</si>
  <si>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</si>
  <si>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</si>
  <si>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</si>
  <si>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</si>
  <si>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</si>
  <si>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</si>
  <si>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</si>
  <si>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</si>
  <si>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</si>
  <si>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</si>
  <si>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</si>
  <si>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</si>
  <si>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</si>
  <si>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</si>
  <si>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</si>
  <si>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</si>
  <si>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</si>
  <si>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</si>
  <si>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</si>
  <si>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</si>
  <si>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</si>
  <si>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</si>
  <si>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</si>
  <si>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</si>
  <si>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</si>
  <si>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</si>
  <si>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</si>
  <si>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</si>
  <si>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</si>
  <si>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</si>
  <si>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</si>
  <si>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</si>
  <si>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</si>
  <si>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</si>
  <si>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</si>
  <si>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</si>
  <si>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</si>
  <si>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</si>
  <si>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</si>
  <si>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</si>
  <si>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</si>
  <si>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</si>
  <si>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</si>
  <si>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</si>
  <si>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</si>
  <si>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</si>
  <si>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</si>
  <si>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</si>
  <si>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</si>
  <si>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</si>
  <si>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</si>
  <si>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</si>
  <si>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</si>
  <si>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</si>
  <si>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</si>
  <si>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</si>
  <si>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</si>
  <si>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</si>
  <si>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</si>
  <si>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</si>
  <si>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</si>
  <si>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</si>
  <si>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</si>
  <si>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</si>
  <si>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</si>
  <si>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</si>
  <si>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</si>
  <si>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</si>
  <si>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</si>
  <si>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</si>
  <si>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</si>
  <si>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</si>
  <si>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</si>
  <si>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</si>
  <si>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</si>
  <si>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</si>
  <si>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</si>
  <si>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</si>
  <si>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</si>
  <si>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</si>
  <si>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</si>
  <si>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</si>
  <si>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</si>
  <si>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</si>
  <si>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</si>
  <si>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</si>
  <si>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</si>
  <si>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</si>
  <si>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</si>
  <si>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</si>
  <si>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</si>
  <si>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</si>
  <si>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</si>
  <si>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</si>
  <si>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</si>
  <si>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</si>
  <si>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</si>
  <si>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</si>
  <si>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</si>
  <si>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</si>
  <si>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</si>
  <si>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</si>
  <si>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</si>
  <si>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</si>
  <si>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</si>
  <si>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</si>
  <si>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</si>
  <si>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</si>
  <si>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</si>
  <si>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</si>
  <si>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</si>
  <si>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</si>
  <si>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</si>
  <si>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</si>
  <si>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</si>
  <si>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</si>
  <si>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</si>
  <si>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</si>
  <si>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</si>
  <si>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</si>
  <si>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</si>
  <si>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</si>
  <si>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</si>
  <si>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</si>
  <si>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</si>
  <si>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</si>
  <si>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</si>
  <si>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</si>
  <si>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</si>
  <si>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</si>
  <si>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</si>
  <si>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</si>
  <si>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</si>
  <si>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</si>
  <si>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</si>
  <si>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</si>
  <si>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</si>
  <si>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</si>
  <si>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</si>
  <si>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</si>
  <si>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</si>
  <si>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</si>
  <si>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</si>
  <si>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</si>
  <si>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</si>
  <si>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</si>
  <si>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</si>
  <si>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</si>
  <si>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</si>
  <si>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</si>
  <si>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</si>
  <si>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</si>
  <si>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</si>
  <si>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</si>
  <si>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</si>
  <si>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</si>
  <si>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</si>
  <si>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</si>
  <si>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</si>
  <si>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</si>
  <si>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</si>
  <si>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</si>
  <si>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</si>
  <si>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</si>
  <si>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</si>
  <si>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</si>
  <si>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</si>
  <si>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</si>
  <si>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</si>
  <si>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</si>
  <si>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</si>
  <si>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</si>
  <si>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</si>
  <si>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</si>
  <si>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</si>
  <si>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</si>
  <si>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</si>
  <si>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</si>
  <si>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</si>
  <si>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</si>
  <si>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</si>
  <si>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</si>
  <si>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</si>
  <si>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</si>
  <si>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</si>
  <si>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</si>
  <si>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</si>
  <si>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</si>
  <si>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</si>
  <si>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</si>
  <si>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</si>
  <si>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</si>
  <si>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</si>
  <si>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</si>
  <si>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</si>
  <si>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</si>
  <si>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</si>
  <si>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</si>
  <si>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</si>
  <si>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</si>
  <si>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</si>
  <si>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</si>
  <si>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</si>
  <si>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</si>
  <si>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</si>
  <si>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</si>
  <si>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</si>
  <si>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</si>
  <si>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</si>
  <si>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</si>
  <si>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</si>
  <si>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</si>
  <si>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</si>
  <si>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</si>
  <si>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</si>
  <si>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</si>
  <si>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</si>
  <si>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</si>
  <si>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</si>
  <si>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</si>
  <si>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</si>
  <si>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</si>
  <si>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</si>
  <si>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</si>
  <si>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</si>
  <si>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</si>
  <si>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</si>
  <si>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</si>
  <si>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</si>
  <si>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</si>
  <si>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</si>
  <si>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</si>
  <si>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</si>
  <si>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</si>
  <si>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</si>
  <si>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</si>
  <si>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</si>
  <si>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</si>
  <si>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</si>
  <si>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</si>
  <si>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</si>
  <si>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</si>
  <si>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</si>
  <si>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</si>
  <si>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</si>
  <si>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</si>
  <si>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</si>
  <si>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</si>
  <si>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</si>
  <si>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</si>
  <si>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</si>
  <si>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</si>
  <si>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</si>
  <si>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</si>
  <si>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</si>
  <si>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</si>
  <si>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</si>
  <si>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</si>
  <si>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</si>
  <si>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</si>
  <si>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</si>
  <si>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</si>
  <si>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</si>
  <si>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</si>
  <si>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</si>
  <si>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</si>
  <si>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</si>
  <si>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</si>
  <si>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</si>
  <si>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</si>
  <si>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</si>
  <si>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</si>
  <si>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</si>
  <si>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</si>
  <si>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</si>
  <si>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</si>
  <si>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</si>
  <si>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</si>
  <si>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</si>
  <si>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</si>
  <si>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</si>
  <si>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</si>
  <si>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</si>
  <si>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</si>
  <si>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</si>
  <si>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</si>
  <si>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</si>
  <si>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</si>
  <si>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</si>
  <si>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</si>
  <si>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</si>
  <si>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</si>
  <si>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</si>
  <si>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</si>
  <si>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</si>
  <si>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</si>
  <si>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</si>
  <si>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</si>
  <si>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</si>
  <si>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</si>
  <si>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</si>
  <si>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</si>
  <si>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</si>
  <si>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</si>
  <si>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</si>
  <si>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</si>
  <si>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</si>
  <si>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</si>
  <si>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</si>
  <si>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</si>
  <si>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</si>
  <si>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</si>
  <si>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</si>
  <si>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</si>
  <si>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</si>
  <si>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</si>
  <si>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</si>
  <si>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</si>
  <si>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</si>
  <si>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</si>
  <si>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</si>
  <si>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</si>
  <si>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</si>
  <si>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</si>
  <si>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</si>
  <si>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</si>
  <si>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</si>
  <si>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</si>
  <si>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</si>
  <si>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</si>
  <si>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</si>
  <si>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</si>
  <si>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</si>
  <si>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</si>
  <si>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</si>
  <si>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</si>
  <si>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</si>
  <si>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</si>
  <si>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</si>
  <si>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</si>
  <si>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</si>
  <si>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</si>
  <si>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</si>
  <si>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</si>
  <si>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</si>
  <si>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</si>
  <si>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</si>
  <si>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</si>
  <si>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</si>
  <si>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</si>
  <si>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</si>
  <si>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</si>
  <si>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</si>
  <si>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</si>
  <si>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</si>
  <si>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</si>
  <si>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</si>
  <si>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</si>
  <si>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</si>
  <si>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</si>
  <si>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</si>
  <si>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</si>
  <si>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</si>
  <si>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</si>
  <si>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</si>
  <si>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</si>
  <si>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</si>
  <si>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</si>
  <si>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</si>
  <si>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</si>
  <si>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</si>
  <si>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</si>
  <si>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</si>
  <si>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</si>
  <si>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</si>
  <si>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</si>
  <si>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</si>
  <si>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</si>
  <si>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</si>
  <si>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</si>
  <si>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</si>
  <si>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</si>
  <si>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</si>
  <si>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</si>
  <si>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</si>
  <si>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</si>
  <si>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</si>
  <si>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</si>
  <si>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</si>
  <si>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</si>
  <si>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</si>
  <si>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</si>
  <si>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</si>
  <si>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</si>
  <si>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</si>
  <si>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</si>
  <si>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</si>
  <si>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</si>
  <si>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</si>
  <si>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</si>
  <si>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</si>
  <si>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</si>
  <si>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</si>
  <si>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</si>
  <si>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</si>
  <si>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</si>
  <si>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</si>
  <si>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</si>
  <si>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</si>
  <si>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</si>
  <si>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</si>
  <si>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</si>
  <si>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</si>
  <si>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</si>
  <si>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</si>
  <si>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</si>
  <si>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</si>
  <si>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</si>
  <si>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</si>
  <si>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</si>
  <si>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</si>
  <si>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</si>
  <si>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</si>
  <si>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</si>
  <si>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</si>
  <si>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</si>
  <si>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</si>
  <si>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</si>
  <si>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</si>
  <si>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</si>
  <si>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</si>
  <si>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</si>
  <si>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</si>
  <si>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</si>
  <si>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</si>
  <si>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</si>
  <si>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</si>
  <si>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</si>
  <si>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</si>
  <si>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</si>
  <si>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</si>
  <si>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</si>
  <si>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</si>
  <si>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</si>
  <si>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</si>
  <si>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</si>
  <si>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</si>
  <si>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</si>
  <si>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</si>
  <si>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</si>
  <si>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</si>
  <si>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</si>
  <si>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</si>
  <si>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</si>
  <si>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</si>
  <si>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</si>
  <si>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</si>
  <si>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</si>
  <si>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</si>
  <si>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</si>
  <si>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</si>
  <si>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</si>
  <si>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</si>
  <si>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</si>
  <si>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</si>
  <si>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</si>
  <si>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</si>
  <si>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</si>
  <si>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</si>
  <si>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</si>
  <si>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</si>
  <si>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</si>
  <si>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</si>
  <si>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</si>
  <si>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</si>
  <si>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</si>
  <si>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</si>
  <si>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</si>
  <si>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</si>
  <si>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</si>
  <si>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</si>
  <si>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</si>
  <si>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</si>
  <si>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</si>
  <si>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</si>
  <si>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</si>
  <si>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</si>
  <si>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</si>
  <si>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</si>
  <si>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</si>
  <si>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</si>
  <si>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</si>
  <si>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</si>
  <si>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</si>
  <si>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</si>
  <si>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</si>
  <si>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</si>
  <si>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</si>
  <si>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</si>
  <si>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</si>
  <si>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</si>
  <si>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</si>
  <si>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</si>
  <si>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</si>
  <si>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</si>
  <si>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</si>
  <si>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</si>
  <si>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</si>
  <si>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</si>
  <si>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</si>
  <si>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</si>
  <si>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</si>
  <si>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</si>
  <si>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</si>
  <si>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</si>
  <si>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</si>
  <si>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</si>
  <si>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</si>
  <si>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</si>
  <si>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</si>
  <si>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</si>
  <si>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</si>
  <si>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</si>
  <si>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</si>
  <si>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</si>
  <si>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</si>
  <si>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</si>
  <si>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</si>
  <si>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</si>
  <si>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</si>
  <si>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</si>
  <si>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</si>
  <si>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</si>
  <si>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</si>
  <si>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</si>
  <si>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</si>
  <si>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</si>
  <si>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</si>
  <si>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</si>
  <si>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</si>
  <si>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</si>
  <si>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</si>
  <si>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</si>
  <si>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</si>
  <si>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</si>
  <si>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</si>
  <si>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</si>
  <si>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</si>
  <si>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</si>
  <si>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</si>
  <si>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</si>
  <si>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</si>
  <si>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</si>
  <si>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</si>
  <si>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</si>
  <si>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</si>
  <si>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</si>
  <si>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</si>
  <si>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</si>
  <si>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</si>
  <si>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</si>
  <si>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</si>
  <si>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</si>
  <si>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</si>
  <si>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</si>
  <si>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</si>
  <si>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</si>
  <si>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</si>
  <si>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</si>
  <si>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</si>
  <si>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</si>
  <si>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</si>
  <si>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</si>
  <si>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</si>
  <si>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</si>
  <si>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</si>
  <si>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</si>
  <si>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</si>
  <si>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</si>
  <si>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</si>
  <si>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</si>
  <si>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</si>
  <si>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</si>
  <si>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</si>
  <si>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</si>
  <si>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</si>
  <si>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</si>
  <si>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</si>
  <si>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</si>
  <si>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</si>
  <si>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</si>
  <si>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</si>
  <si>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</si>
  <si>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</si>
  <si>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</si>
  <si>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</si>
  <si>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</si>
  <si>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</si>
  <si>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</si>
  <si>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</si>
  <si>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</si>
  <si>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</si>
  <si>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</si>
  <si>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</si>
  <si>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</si>
  <si>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</si>
  <si>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</si>
  <si>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</si>
  <si>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</si>
  <si>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</si>
  <si>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</si>
  <si>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</si>
  <si>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</si>
  <si>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</si>
  <si>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</si>
  <si>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</si>
  <si>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</si>
  <si>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</si>
  <si>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</si>
  <si>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</si>
  <si>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</si>
  <si>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</si>
  <si>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</si>
  <si>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</si>
  <si>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</si>
  <si>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</si>
  <si>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</si>
  <si>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</si>
  <si>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</si>
  <si>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</si>
  <si>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</si>
  <si>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</si>
  <si>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</si>
  <si>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</si>
  <si>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</si>
  <si>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</si>
  <si>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</si>
  <si>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</si>
  <si>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</si>
  <si>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</si>
  <si>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</si>
  <si>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</si>
  <si>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</si>
  <si>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</si>
  <si>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</si>
  <si>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</si>
  <si>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</si>
  <si>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</si>
  <si>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</si>
  <si>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</si>
  <si>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</si>
  <si>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</si>
  <si>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</si>
  <si>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</si>
  <si>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</si>
  <si>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</si>
  <si>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</si>
  <si>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</si>
  <si>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</si>
  <si>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</si>
  <si>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</si>
  <si>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</si>
  <si>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</si>
  <si>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</si>
  <si>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</si>
  <si>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</si>
  <si>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</si>
  <si>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</si>
  <si>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</si>
  <si>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</si>
  <si>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</si>
  <si>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</si>
  <si>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</si>
  <si>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</si>
  <si>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</si>
  <si>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</si>
  <si>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</si>
  <si>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</si>
  <si>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</si>
  <si>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</si>
  <si>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</si>
  <si>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</si>
  <si>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</si>
  <si>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</si>
  <si>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</si>
  <si>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</si>
  <si>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</si>
  <si>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</si>
  <si>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</si>
  <si>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</si>
  <si>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</si>
  <si>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</si>
  <si>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</si>
  <si>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</si>
  <si>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</si>
  <si>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</si>
  <si>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</si>
  <si>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</si>
  <si>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</si>
  <si>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</si>
  <si>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</si>
  <si>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</si>
  <si>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</si>
  <si>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</si>
  <si>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</si>
  <si>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</si>
  <si>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</si>
  <si>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</si>
  <si>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</si>
  <si>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</si>
  <si>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</si>
  <si>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</si>
  <si>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</si>
  <si>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</si>
  <si>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</si>
  <si>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</si>
  <si>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</si>
  <si>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</si>
  <si>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</si>
  <si>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</si>
  <si>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</si>
  <si>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</si>
  <si>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</si>
  <si>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</si>
  <si>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</si>
  <si>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</si>
  <si>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</si>
  <si>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</si>
  <si>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</si>
  <si>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</si>
  <si>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</si>
  <si>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</si>
  <si>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</si>
  <si>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</si>
  <si>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</si>
  <si>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</si>
  <si>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</si>
  <si>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</si>
  <si>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</si>
  <si>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</si>
  <si>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</si>
  <si>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</si>
  <si>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</si>
  <si>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</si>
  <si>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</si>
  <si>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</si>
  <si>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</si>
  <si>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</si>
  <si>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</si>
  <si>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</si>
  <si>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</si>
  <si>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</si>
  <si>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</si>
  <si>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</si>
  <si>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</si>
  <si>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</si>
  <si>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</si>
  <si>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</si>
  <si>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</si>
  <si>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</si>
  <si>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</si>
  <si>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</si>
  <si>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</si>
  <si>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</si>
  <si>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</si>
  <si>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</si>
  <si>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</si>
  <si>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</si>
  <si>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</si>
  <si>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</si>
  <si>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</si>
  <si>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</si>
  <si>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</si>
  <si>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</si>
  <si>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</si>
  <si>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</si>
  <si>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</si>
  <si>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</si>
  <si>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</si>
  <si>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</si>
  <si>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</si>
  <si>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</si>
  <si>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</si>
  <si>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</si>
  <si>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</si>
  <si>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</si>
  <si>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</si>
  <si>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</si>
  <si>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</si>
  <si>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</si>
  <si>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</si>
  <si>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</si>
  <si>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</si>
  <si>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</si>
  <si>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</si>
  <si>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</si>
  <si>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</si>
  <si>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</si>
  <si>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</si>
  <si>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</si>
  <si>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</si>
  <si>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</si>
  <si>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</si>
  <si>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</si>
  <si>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</si>
  <si>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</si>
  <si>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</si>
  <si>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</si>
  <si>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</si>
  <si>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</si>
  <si>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</si>
  <si>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</si>
  <si>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</si>
  <si>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</si>
  <si>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</si>
  <si>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</si>
  <si>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</si>
  <si>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</si>
  <si>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</si>
  <si>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</si>
  <si>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</si>
  <si>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</si>
  <si>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</si>
  <si>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</si>
  <si>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</si>
  <si>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</si>
  <si>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</si>
  <si>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</si>
  <si>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</si>
  <si>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</si>
  <si>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</si>
  <si>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</si>
  <si>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</si>
  <si>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</si>
  <si>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</si>
  <si>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</si>
  <si>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</si>
  <si>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</si>
  <si>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</si>
  <si>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</si>
  <si>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</si>
  <si>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</si>
  <si>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</si>
  <si>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</si>
  <si>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</si>
  <si>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</si>
  <si>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</si>
  <si>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</si>
  <si>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</si>
  <si>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</si>
  <si>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</si>
  <si>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</si>
  <si>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</si>
  <si>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</si>
  <si>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</si>
  <si>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</si>
  <si>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</si>
  <si>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</si>
  <si>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</si>
  <si>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</si>
  <si>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</si>
  <si>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</si>
  <si>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</si>
  <si>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</si>
  <si>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</si>
  <si>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</si>
  <si>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</si>
  <si>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</si>
  <si>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</si>
  <si>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</si>
  <si>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</si>
  <si>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</si>
  <si>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</si>
  <si>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</si>
  <si>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</si>
  <si>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</si>
  <si>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</si>
  <si>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</si>
  <si>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</si>
  <si>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</si>
  <si>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</si>
  <si>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</si>
  <si>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</si>
  <si>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</si>
  <si>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</si>
  <si>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</si>
  <si>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</si>
  <si>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</si>
  <si>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</si>
  <si>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</si>
  <si>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</si>
  <si>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</si>
  <si>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</si>
  <si>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</si>
  <si>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</si>
  <si>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</si>
  <si>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</si>
  <si>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</si>
  <si>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</si>
  <si>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</si>
  <si>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</si>
  <si>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</si>
  <si>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</si>
  <si>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</si>
  <si>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</si>
  <si>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</si>
  <si>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</si>
  <si>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</si>
  <si>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</si>
  <si>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</si>
  <si>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</si>
  <si>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</si>
  <si>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</si>
  <si>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</si>
  <si>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</si>
  <si>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</si>
  <si>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</si>
  <si>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</si>
  <si>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</si>
  <si>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</si>
  <si>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</si>
  <si>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</si>
  <si>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</si>
  <si>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</si>
  <si>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</si>
  <si>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</si>
  <si>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</si>
  <si>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</si>
  <si>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</si>
  <si>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</si>
  <si>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</si>
  <si>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</si>
  <si>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</si>
  <si>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</si>
  <si>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</si>
  <si>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</si>
  <si>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</si>
  <si>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</si>
  <si>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</si>
  <si>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</si>
  <si>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</si>
  <si>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</si>
  <si>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</si>
  <si>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</si>
  <si>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</si>
  <si>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</si>
  <si>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</si>
  <si>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</si>
  <si>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</si>
  <si>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</si>
  <si>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</si>
  <si>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</si>
  <si>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</si>
  <si>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</si>
  <si>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</si>
  <si>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</si>
  <si>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</si>
  <si>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</si>
  <si>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</si>
  <si>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</si>
  <si>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</si>
  <si>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</si>
  <si>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</si>
  <si>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</si>
  <si>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</si>
  <si>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</si>
  <si>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</si>
  <si>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</si>
  <si>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</si>
  <si>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</si>
  <si>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</si>
  <si>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</si>
  <si>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</si>
  <si>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</si>
  <si>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</si>
  <si>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</si>
  <si>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</si>
  <si>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</si>
  <si>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</si>
  <si>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</si>
  <si>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</si>
  <si>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</si>
  <si>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</si>
  <si>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</si>
  <si>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</si>
  <si>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</si>
  <si>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</si>
  <si>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</si>
  <si>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</si>
  <si>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</si>
  <si>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</si>
  <si>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</si>
  <si>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</si>
  <si>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</si>
  <si>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</si>
  <si>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</si>
  <si>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</si>
  <si>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</si>
  <si>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</si>
  <si>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</si>
  <si>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</si>
  <si>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</si>
  <si>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</si>
  <si>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</si>
  <si>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</si>
  <si>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</si>
  <si>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</si>
  <si>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</si>
  <si>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</si>
  <si>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</si>
  <si>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</si>
  <si>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</si>
  <si>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</si>
  <si>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</si>
  <si>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</si>
  <si>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</si>
  <si>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</si>
  <si>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</si>
  <si>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</si>
  <si>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</si>
  <si>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</si>
  <si>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</si>
  <si>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</si>
  <si>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</si>
  <si>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</si>
  <si>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</si>
  <si>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</si>
  <si>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</si>
  <si>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</si>
  <si>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</si>
  <si>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</si>
  <si>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</si>
  <si>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</si>
  <si>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</si>
  <si>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</si>
  <si>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</si>
  <si>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</si>
  <si>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</si>
  <si>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</si>
  <si>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</si>
  <si>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</si>
  <si>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</si>
  <si>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</si>
  <si>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</si>
  <si>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</si>
  <si>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</si>
  <si>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</si>
  <si>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</si>
  <si>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</si>
  <si>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</si>
  <si>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</si>
  <si>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</si>
  <si>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</si>
  <si>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</si>
  <si>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</si>
  <si>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</si>
  <si>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</si>
  <si>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</si>
  <si>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</si>
  <si>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</si>
  <si>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</si>
  <si>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</si>
  <si>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</si>
  <si>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</si>
  <si>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</si>
  <si>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</si>
  <si>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</si>
  <si>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</si>
  <si>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</si>
  <si>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</si>
  <si>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</si>
  <si>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</si>
  <si>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</si>
  <si>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</si>
  <si>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</si>
  <si>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</si>
  <si>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</si>
  <si>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</si>
  <si>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</si>
  <si>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</si>
  <si>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</si>
  <si>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</si>
  <si>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</si>
  <si>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</si>
  <si>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</si>
  <si>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</si>
  <si>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</si>
  <si>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</si>
  <si>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</si>
  <si>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</si>
  <si>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</si>
  <si>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</si>
  <si>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</si>
  <si>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</si>
  <si>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</si>
  <si>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</si>
  <si>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</si>
  <si>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</si>
  <si>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</si>
  <si>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</si>
  <si>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</si>
  <si>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</si>
  <si>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</si>
  <si>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</si>
  <si>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</si>
  <si>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</si>
  <si>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</si>
  <si>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</si>
  <si>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</si>
  <si>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</si>
  <si>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</si>
  <si>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</si>
  <si>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</si>
  <si>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</si>
  <si>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</si>
  <si>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</si>
  <si>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</si>
  <si>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</si>
  <si>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</si>
  <si>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</si>
  <si>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</si>
  <si>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</si>
  <si>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</si>
  <si>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</si>
  <si>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</si>
  <si>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</si>
  <si>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</si>
  <si>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</si>
  <si>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</si>
  <si>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</si>
  <si>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</si>
  <si>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</si>
  <si>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</si>
  <si>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</si>
  <si>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</si>
  <si>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</si>
  <si>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</si>
  <si>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</si>
  <si>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</si>
  <si>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</si>
  <si>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</si>
  <si>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</si>
  <si>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</si>
  <si>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</si>
  <si>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</si>
  <si>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</si>
  <si>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</si>
  <si>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</si>
  <si>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</si>
  <si>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</si>
  <si>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</si>
  <si>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</si>
  <si>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</si>
  <si>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</si>
  <si>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</si>
  <si>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</si>
  <si>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</si>
  <si>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</si>
  <si>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</si>
  <si>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</si>
  <si>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</si>
  <si>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</si>
  <si>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</si>
  <si>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</si>
  <si>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</si>
  <si>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</si>
  <si>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</si>
  <si>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</si>
  <si>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</si>
  <si>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</si>
  <si>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</si>
  <si>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</si>
  <si>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</si>
  <si>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</si>
  <si>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</si>
  <si>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</si>
  <si>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</si>
  <si>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</si>
  <si>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</si>
  <si>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</si>
  <si>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</si>
  <si>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</si>
  <si>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</si>
  <si>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</si>
  <si>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</si>
  <si>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</si>
  <si>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</si>
  <si>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</si>
  <si>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</si>
  <si>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</si>
  <si>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</si>
  <si>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</si>
  <si>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</si>
  <si>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</si>
  <si>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</si>
  <si>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</si>
  <si>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</si>
  <si>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</si>
  <si>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</si>
  <si>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</si>
  <si>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</si>
  <si>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</si>
  <si>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</si>
  <si>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</si>
  <si>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</si>
  <si>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</si>
  <si>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</si>
  <si>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</si>
  <si>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</si>
  <si>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</si>
  <si>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</si>
  <si>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</si>
  <si>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</si>
  <si>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</si>
  <si>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</si>
  <si>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</si>
  <si>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</si>
  <si>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</si>
  <si>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</si>
  <si>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</si>
  <si>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</si>
  <si>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</si>
  <si>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</si>
  <si>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</si>
  <si>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</si>
  <si>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</si>
  <si>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</si>
  <si>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</si>
  <si>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</si>
  <si>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</si>
  <si>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</si>
  <si>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</si>
  <si>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</si>
  <si>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</si>
  <si>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</si>
  <si>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</si>
  <si>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</si>
  <si>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</si>
  <si>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</si>
  <si>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</si>
  <si>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</si>
  <si>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</si>
  <si>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</si>
  <si>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</si>
  <si>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</si>
  <si>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</si>
  <si>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</si>
  <si>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</si>
  <si>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</si>
  <si>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</si>
  <si>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</si>
  <si>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</si>
  <si>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</si>
  <si>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</si>
  <si>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</si>
  <si>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</si>
  <si>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</si>
  <si>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</si>
  <si>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</si>
  <si>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</si>
  <si>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</si>
  <si>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</si>
  <si>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</si>
  <si>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</si>
  <si>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</si>
  <si>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</si>
  <si>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</si>
  <si>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</si>
  <si>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</si>
  <si>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</si>
  <si>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</si>
  <si>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</si>
  <si>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</si>
  <si>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</si>
  <si>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</si>
  <si>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</si>
  <si>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</si>
  <si>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</si>
  <si>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</si>
  <si>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</si>
  <si>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</si>
  <si>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</si>
  <si>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</si>
  <si>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</si>
  <si>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</si>
  <si>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</si>
  <si>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</si>
  <si>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</si>
  <si>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</si>
  <si>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</si>
  <si>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</si>
  <si>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</si>
  <si>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</si>
  <si>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</si>
  <si>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</si>
  <si>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</si>
  <si>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</si>
  <si>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</si>
  <si>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</si>
  <si>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</si>
  <si>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</si>
  <si>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</si>
  <si>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</si>
  <si>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</si>
  <si>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</si>
  <si>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</si>
  <si>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</si>
  <si>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</si>
  <si>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</si>
  <si>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</si>
  <si>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</si>
  <si>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</si>
  <si>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</si>
  <si>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</si>
  <si>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</si>
  <si>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</si>
  <si>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</si>
  <si>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</si>
  <si>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</si>
  <si>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</si>
  <si>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</si>
  <si>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</si>
  <si>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</si>
  <si>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</si>
  <si>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</si>
  <si>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</si>
  <si>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</si>
  <si>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</si>
  <si>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</si>
  <si>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</si>
  <si>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</si>
  <si>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</si>
  <si>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</si>
  <si>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</si>
  <si>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</si>
  <si>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</si>
  <si>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</si>
  <si>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</si>
  <si>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</si>
  <si>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</si>
  <si>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</si>
  <si>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</si>
  <si>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</si>
  <si>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</si>
  <si>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</si>
  <si>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</si>
  <si>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</si>
  <si>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</si>
  <si>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</si>
  <si>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</si>
  <si>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</si>
  <si>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</si>
  <si>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</si>
  <si>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</si>
  <si>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</si>
  <si>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</si>
  <si>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</si>
  <si>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</si>
  <si>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</si>
  <si>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</si>
  <si>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</si>
  <si>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</si>
  <si>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</si>
  <si>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</si>
  <si>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</si>
  <si>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</si>
  <si>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</si>
  <si>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</si>
  <si>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</si>
  <si>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</si>
  <si>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</si>
  <si>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</si>
  <si>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</si>
  <si>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</si>
  <si>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</si>
  <si>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</si>
  <si>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</si>
  <si>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</si>
  <si>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</si>
  <si>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</si>
  <si>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</si>
  <si>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</si>
  <si>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</si>
  <si>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</si>
  <si>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</si>
  <si>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</si>
  <si>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</si>
  <si>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</si>
  <si>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</si>
  <si>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</si>
  <si>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</si>
  <si>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</si>
  <si>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</si>
  <si>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</si>
  <si>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</si>
  <si>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</si>
  <si>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</si>
  <si>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</si>
  <si>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</si>
  <si>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</si>
  <si>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</si>
  <si>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</si>
  <si>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</si>
  <si>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</si>
  <si>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</si>
  <si>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</si>
  <si>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</si>
  <si>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</si>
  <si>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</si>
  <si>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</si>
  <si>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</si>
  <si>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</si>
  <si>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</si>
  <si>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</si>
  <si>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</si>
  <si>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</si>
  <si>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</si>
  <si>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</si>
  <si>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</si>
  <si>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</si>
  <si>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</si>
  <si>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</si>
  <si>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</si>
  <si>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</si>
  <si>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</si>
  <si>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</si>
  <si>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</si>
  <si>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</si>
  <si>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</si>
  <si>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</si>
  <si>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</si>
  <si>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</si>
  <si>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</si>
  <si>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</si>
  <si>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</si>
  <si>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</si>
  <si>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</si>
  <si>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</si>
  <si>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</si>
  <si>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</si>
  <si>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</si>
  <si>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</si>
  <si>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</si>
  <si>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</si>
  <si>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</si>
  <si>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</si>
  <si>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</si>
  <si>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</si>
  <si>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</si>
  <si>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</si>
  <si>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</si>
  <si>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</si>
  <si>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</si>
  <si>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</si>
  <si>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</si>
  <si>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</si>
  <si>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</si>
  <si>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</si>
  <si>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</si>
  <si>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</si>
  <si>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</si>
  <si>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</si>
  <si>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</si>
  <si>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</si>
  <si>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</si>
  <si>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</si>
  <si>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</si>
  <si>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</si>
  <si>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</si>
  <si>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</si>
  <si>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</si>
  <si>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</si>
  <si>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</si>
  <si>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</si>
  <si>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</si>
  <si>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</si>
  <si>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</si>
  <si>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</si>
  <si>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</si>
  <si>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</si>
  <si>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</si>
  <si>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</si>
  <si>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</si>
  <si>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</si>
  <si>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</si>
  <si>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</si>
  <si>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</si>
  <si>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</si>
  <si>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</si>
  <si>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</si>
  <si>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</si>
  <si>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</si>
  <si>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</si>
  <si>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</si>
  <si>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</si>
  <si>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</si>
  <si>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</si>
  <si>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</si>
  <si>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</si>
  <si>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</si>
  <si>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</si>
  <si>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</si>
  <si>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</si>
  <si>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</si>
  <si>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</si>
  <si>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</si>
  <si>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</si>
  <si>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</si>
  <si>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</si>
  <si>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</si>
  <si>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</si>
  <si>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</si>
  <si>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</si>
  <si>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</si>
  <si>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</si>
  <si>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</si>
  <si>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</si>
  <si>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</si>
  <si>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</si>
  <si>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</si>
  <si>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</si>
  <si>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</si>
  <si>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</si>
  <si>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</si>
  <si>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</si>
  <si>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</si>
  <si>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</si>
  <si>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</si>
  <si>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</si>
  <si>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</si>
  <si>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</si>
  <si>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</si>
  <si>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</si>
  <si>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</si>
  <si>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</si>
  <si>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</si>
  <si>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</si>
  <si>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</si>
  <si>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</si>
  <si>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</si>
  <si>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</si>
  <si>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</si>
  <si>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</si>
  <si>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</si>
  <si>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</si>
  <si>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</si>
  <si>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</si>
  <si>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</si>
  <si>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</si>
  <si>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</si>
  <si>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</si>
  <si>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</si>
  <si>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</si>
  <si>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</si>
  <si>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</si>
  <si>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</si>
  <si>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</si>
  <si>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</si>
  <si>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</si>
  <si>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</si>
  <si>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</si>
  <si>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</si>
  <si>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</si>
  <si>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</si>
  <si>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</si>
  <si>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</si>
  <si>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</si>
  <si>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</si>
  <si>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</si>
  <si>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</si>
  <si>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</si>
  <si>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</si>
  <si>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</si>
  <si>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</si>
  <si>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</si>
  <si>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</si>
  <si>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</si>
  <si>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</si>
  <si>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</si>
  <si>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</si>
  <si>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</si>
  <si>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</si>
  <si>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</si>
  <si>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</si>
  <si>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</si>
  <si>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</si>
  <si>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</si>
  <si>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</si>
  <si>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</si>
  <si>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</si>
  <si>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</si>
  <si>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</si>
  <si>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</si>
  <si>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</si>
  <si>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</si>
  <si>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</si>
  <si>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</si>
  <si>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</si>
  <si>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</si>
  <si>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</si>
  <si>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</si>
  <si>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</si>
  <si>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</si>
  <si>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</si>
  <si>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</si>
  <si>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</si>
  <si>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</si>
  <si>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</si>
  <si>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</si>
  <si>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</si>
  <si>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</si>
  <si>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</si>
  <si>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</si>
  <si>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</si>
  <si>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</si>
  <si>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</si>
  <si>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</si>
  <si>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</si>
  <si>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</si>
  <si>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</si>
  <si>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</si>
  <si>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</si>
  <si>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</si>
  <si>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</si>
  <si>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</si>
  <si>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</si>
  <si>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</si>
  <si>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</si>
  <si>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</si>
  <si>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</si>
  <si>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</si>
  <si>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</si>
  <si>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</si>
  <si>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</si>
  <si>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</si>
  <si>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</si>
  <si>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</si>
  <si>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</si>
  <si>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</si>
  <si>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</si>
  <si>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</si>
  <si>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</si>
  <si>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</si>
  <si>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</si>
  <si>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</si>
  <si>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</si>
  <si>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</si>
  <si>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</si>
  <si>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</si>
  <si>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</si>
  <si>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</si>
  <si>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</si>
  <si>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</si>
  <si>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</si>
  <si>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</si>
  <si>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</si>
  <si>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</si>
  <si>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</si>
  <si>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</si>
  <si>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</si>
  <si>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</si>
  <si>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</si>
  <si>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</si>
  <si>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</si>
  <si>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</si>
  <si>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</si>
  <si>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</si>
  <si>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</si>
  <si>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</si>
  <si>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</si>
  <si>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</si>
  <si>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</si>
  <si>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</si>
  <si>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</si>
  <si>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</si>
  <si>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</si>
  <si>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</si>
  <si>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</si>
  <si>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</si>
  <si>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</si>
  <si>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</si>
  <si>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</si>
  <si>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</si>
  <si>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</si>
  <si>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</si>
  <si>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</si>
  <si>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</si>
  <si>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</si>
  <si>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</si>
  <si>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</si>
  <si>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</si>
  <si>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</si>
  <si>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</si>
  <si>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</si>
  <si>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</si>
  <si>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</si>
  <si>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</si>
  <si>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</si>
  <si>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</si>
  <si>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</si>
  <si>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</si>
  <si>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</si>
  <si>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</si>
  <si>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</si>
  <si>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</si>
  <si>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</si>
  <si>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</si>
  <si>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</si>
  <si>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</si>
  <si>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</si>
  <si>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</si>
  <si>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</si>
  <si>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</si>
  <si>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</si>
  <si>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</si>
  <si>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</si>
  <si>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</si>
  <si>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</si>
  <si>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</si>
  <si>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</si>
  <si>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</si>
  <si>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</si>
  <si>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</si>
  <si>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</si>
  <si>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</si>
  <si>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</si>
  <si>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</si>
  <si>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</si>
  <si>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</si>
  <si>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</si>
  <si>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</si>
  <si>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</si>
  <si>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</si>
  <si>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</si>
  <si>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</si>
  <si>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</si>
  <si>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</si>
  <si>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</si>
  <si>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</si>
  <si>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</si>
  <si>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</si>
  <si>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</si>
  <si>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</si>
  <si>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</si>
  <si>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</si>
  <si>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</si>
  <si>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</si>
  <si>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</si>
  <si>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</si>
  <si>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</si>
  <si>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</si>
  <si>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</si>
  <si>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</si>
  <si>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</si>
  <si>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</si>
  <si>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</si>
  <si>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</si>
  <si>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</si>
  <si>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</si>
  <si>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</si>
  <si>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</si>
  <si>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</si>
  <si>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</si>
  <si>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</si>
  <si>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</si>
  <si>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</si>
  <si>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</si>
  <si>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</si>
  <si>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</si>
  <si>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</si>
  <si>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</si>
  <si>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</si>
  <si>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</si>
  <si>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</si>
  <si>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</si>
  <si>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</si>
  <si>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</si>
  <si>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</si>
  <si>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</si>
  <si>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</si>
  <si>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</si>
  <si>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</si>
  <si>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</si>
  <si>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</si>
  <si>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</si>
  <si>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</si>
  <si>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</si>
  <si>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</si>
  <si>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</si>
  <si>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</si>
  <si>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</si>
  <si>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</si>
  <si>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</si>
  <si>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</si>
  <si>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</si>
  <si>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</si>
  <si>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</si>
  <si>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</si>
  <si>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</si>
  <si>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</si>
  <si>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</si>
  <si>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</si>
  <si>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</si>
  <si>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</si>
  <si>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</si>
  <si>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</si>
  <si>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</si>
  <si>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</si>
  <si>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</si>
  <si>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</si>
  <si>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</si>
  <si>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</si>
  <si>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</si>
  <si>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</si>
  <si>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</si>
  <si>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</si>
  <si>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</si>
  <si>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</si>
  <si>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</si>
  <si>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</si>
  <si>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</si>
  <si>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</si>
  <si>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</si>
  <si>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</si>
  <si>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</si>
  <si>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</si>
  <si>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</si>
  <si>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</si>
  <si>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</si>
  <si>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</si>
  <si>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</si>
  <si>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</si>
  <si>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</si>
  <si>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</si>
  <si>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</si>
  <si>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</si>
  <si>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</si>
  <si>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</si>
  <si>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</si>
  <si>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</si>
  <si>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</si>
  <si>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</si>
  <si>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</si>
  <si>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</si>
  <si>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</si>
  <si>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</si>
  <si>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</si>
  <si>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</si>
  <si>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</si>
  <si>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</si>
  <si>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</si>
  <si>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</si>
  <si>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</si>
  <si>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</si>
  <si>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</si>
  <si>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</si>
  <si>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</si>
  <si>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</si>
  <si>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</si>
  <si>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</si>
  <si>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</si>
  <si>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</si>
  <si>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</si>
  <si>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</si>
  <si>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</si>
  <si>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</si>
  <si>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</si>
  <si>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</si>
  <si>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</si>
  <si>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</si>
  <si>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</si>
  <si>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</si>
  <si>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</si>
  <si>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</si>
  <si>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</si>
  <si>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</si>
  <si>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</si>
  <si>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</si>
  <si>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</si>
  <si>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</si>
  <si>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</si>
  <si>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</si>
  <si>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</si>
  <si>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</si>
  <si>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</si>
  <si>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</si>
  <si>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</si>
  <si>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</si>
  <si>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</si>
  <si>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</si>
  <si>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</si>
  <si>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</si>
  <si>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</si>
  <si>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</si>
  <si>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</si>
  <si>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</si>
  <si>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</si>
  <si>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</si>
  <si>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</si>
  <si>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</si>
  <si>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</si>
  <si>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</si>
  <si>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</si>
  <si>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</si>
  <si>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</si>
  <si>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</si>
  <si>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</si>
  <si>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</si>
  <si>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</si>
  <si>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</si>
  <si>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</si>
  <si>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</si>
  <si>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</si>
  <si>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</si>
  <si>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</si>
  <si>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</si>
  <si>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</si>
  <si>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</si>
  <si>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</si>
  <si>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</si>
  <si>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</si>
  <si>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</si>
  <si>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</si>
  <si>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</si>
  <si>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</si>
  <si>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</si>
  <si>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</si>
  <si>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</si>
  <si>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</si>
  <si>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</si>
  <si>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</si>
  <si>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</si>
  <si>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</si>
  <si>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</si>
  <si>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</si>
  <si>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</si>
  <si>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</si>
  <si>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</si>
  <si>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</si>
  <si>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</si>
  <si>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</si>
  <si>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</si>
  <si>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</si>
  <si>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</si>
  <si>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</si>
  <si>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</si>
  <si>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</si>
  <si>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</si>
  <si>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</si>
  <si>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</si>
  <si>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</si>
  <si>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</si>
  <si>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</si>
  <si>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</si>
  <si>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</si>
  <si>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</si>
  <si>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</si>
  <si>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</si>
  <si>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</si>
  <si>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</si>
  <si>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</si>
  <si>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</si>
  <si>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</si>
  <si>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</si>
  <si>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</si>
  <si>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</si>
  <si>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</si>
  <si>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</si>
  <si>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</si>
  <si>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</si>
  <si>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</si>
  <si>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</si>
  <si>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</si>
  <si>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</si>
  <si>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</si>
  <si>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</si>
  <si>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</si>
  <si>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</si>
  <si>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</si>
  <si>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</si>
  <si>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</si>
  <si>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</si>
  <si>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</si>
  <si>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</si>
  <si>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</si>
  <si>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</si>
  <si>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</si>
  <si>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</si>
  <si>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</si>
  <si>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</si>
  <si>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</si>
  <si>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</si>
  <si>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</si>
  <si>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</si>
  <si>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</si>
  <si>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</si>
  <si>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</si>
  <si>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</si>
  <si>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</si>
  <si>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</si>
  <si>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</si>
  <si>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</si>
  <si>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</si>
  <si>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</si>
  <si>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</si>
  <si>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</si>
  <si>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</si>
  <si>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</si>
  <si>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</si>
  <si>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</si>
  <si>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</si>
  <si>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</si>
  <si>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</si>
  <si>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</si>
  <si>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</si>
  <si>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</si>
  <si>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</si>
  <si>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</si>
  <si>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</si>
  <si>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</si>
  <si>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</si>
  <si>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</si>
  <si>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</si>
  <si>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</si>
  <si>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</si>
  <si>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</si>
  <si>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</si>
  <si>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</si>
  <si>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</si>
  <si>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</si>
  <si>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</si>
  <si>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</si>
  <si>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</si>
  <si>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</si>
  <si>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</si>
  <si>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</si>
  <si>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</si>
  <si>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</si>
  <si>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</si>
  <si>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</si>
  <si>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</si>
  <si>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</si>
  <si>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</si>
  <si>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</si>
  <si>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</si>
  <si>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</si>
  <si>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</si>
  <si>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</si>
  <si>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</si>
  <si>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</si>
  <si>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</si>
  <si>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</si>
  <si>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</si>
  <si>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</si>
  <si>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</si>
  <si>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</si>
  <si>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</si>
  <si>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</si>
  <si>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</si>
  <si>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</si>
  <si>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</si>
  <si>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</si>
  <si>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</si>
  <si>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</si>
  <si>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</si>
  <si>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</si>
  <si>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</si>
  <si>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</si>
  <si>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</si>
  <si>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</si>
  <si>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</si>
  <si>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</si>
  <si>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</si>
  <si>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</si>
  <si>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</si>
  <si>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</si>
  <si>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</si>
  <si>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</si>
  <si>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</si>
  <si>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</si>
  <si>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</si>
  <si>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</si>
  <si>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</si>
  <si>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</si>
  <si>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</si>
  <si>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</si>
  <si>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</si>
  <si>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</si>
  <si>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</si>
  <si>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</si>
  <si>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</si>
  <si>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</si>
  <si>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</si>
  <si>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</si>
  <si>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</si>
  <si>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</si>
  <si>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</si>
  <si>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</si>
  <si>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</si>
  <si>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</si>
  <si>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</si>
  <si>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</si>
  <si>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</si>
  <si>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</si>
  <si>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</si>
  <si>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</si>
  <si>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</si>
  <si>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</si>
  <si>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</si>
  <si>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</si>
  <si>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</si>
  <si>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</si>
  <si>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</si>
  <si>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</si>
  <si>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</si>
  <si>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</si>
  <si>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</si>
  <si>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</si>
  <si>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</si>
  <si>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</si>
  <si>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</si>
  <si>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</si>
  <si>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</si>
  <si>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</si>
  <si>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</si>
  <si>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</si>
  <si>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</si>
  <si>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</si>
  <si>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</si>
  <si>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</si>
  <si>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</si>
  <si>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</si>
  <si>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</si>
  <si>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</si>
  <si>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</si>
  <si>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</si>
  <si>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</si>
  <si>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</si>
  <si>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</si>
  <si>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</si>
  <si>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</si>
  <si>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</si>
  <si>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</si>
  <si>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</si>
  <si>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</si>
  <si>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</si>
  <si>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</si>
  <si>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</si>
  <si>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</si>
  <si>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</si>
  <si>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</si>
  <si>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</si>
  <si>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</si>
  <si>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</si>
  <si>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</si>
  <si>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</si>
  <si>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</si>
  <si>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</si>
  <si>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</si>
  <si>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</si>
  <si>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</si>
  <si>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</si>
  <si>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</si>
  <si>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</si>
  <si>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</si>
  <si>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</si>
  <si>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</si>
  <si>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</si>
  <si>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</si>
  <si>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</si>
  <si>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</si>
  <si>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</si>
  <si>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</si>
  <si>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</si>
  <si>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</si>
  <si>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</si>
  <si>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</si>
  <si>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</si>
  <si>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</si>
  <si>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</si>
  <si>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</si>
  <si>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</si>
  <si>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</si>
  <si>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</si>
  <si>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</si>
  <si>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</si>
  <si>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</si>
  <si>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</si>
  <si>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</si>
  <si>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</si>
  <si>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</si>
  <si>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</si>
  <si>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</si>
  <si>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</si>
  <si>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</si>
  <si>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</si>
  <si>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</si>
  <si>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</si>
  <si>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</si>
  <si>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</si>
  <si>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</si>
  <si>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</si>
  <si>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</si>
  <si>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</si>
  <si>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</si>
  <si>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</si>
  <si>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</si>
  <si>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</si>
  <si>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</si>
  <si>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</si>
  <si>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</si>
  <si>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</si>
  <si>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</si>
  <si>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</si>
  <si>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</si>
  <si>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</si>
  <si>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</si>
  <si>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</si>
  <si>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</si>
  <si>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</si>
  <si>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</si>
  <si>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</si>
  <si>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</si>
  <si>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</si>
  <si>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</si>
  <si>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</si>
  <si>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</si>
  <si>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</si>
  <si>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</si>
  <si>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</si>
  <si>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</si>
  <si>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</si>
  <si>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</si>
  <si>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</si>
  <si>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</si>
  <si>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</si>
  <si>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</si>
  <si>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</si>
  <si>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</si>
  <si>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</si>
  <si>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</si>
  <si>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</si>
  <si>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</si>
  <si>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</si>
  <si>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</si>
  <si>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</si>
  <si>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</si>
  <si>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</si>
  <si>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</si>
  <si>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</si>
  <si>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</si>
  <si>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</si>
  <si>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</si>
  <si>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</si>
  <si>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</si>
  <si>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</si>
  <si>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</si>
  <si>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</si>
  <si>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</si>
  <si>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</si>
  <si>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</si>
  <si>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</si>
  <si>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</si>
  <si>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</si>
  <si>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</si>
  <si>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</si>
  <si>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</si>
  <si>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</si>
  <si>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</si>
  <si>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</si>
  <si>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</si>
  <si>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</si>
  <si>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</si>
  <si>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</si>
  <si>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</si>
  <si>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</si>
  <si>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</si>
  <si>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</si>
  <si>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</si>
  <si>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</si>
  <si>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</si>
  <si>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</si>
  <si>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</si>
  <si>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</si>
  <si>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</si>
  <si>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</si>
  <si>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</si>
  <si>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</si>
  <si>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</si>
  <si>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</si>
  <si>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</si>
  <si>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</si>
  <si>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</si>
  <si>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</si>
  <si>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</si>
  <si>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</si>
  <si>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</si>
  <si>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</si>
  <si>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</si>
  <si>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</si>
  <si>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</si>
  <si>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</si>
  <si>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</si>
  <si>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</si>
  <si>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</si>
  <si>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</si>
  <si>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</si>
  <si>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</si>
  <si>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</si>
  <si>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</si>
  <si>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</si>
  <si>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</si>
  <si>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</si>
  <si>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</si>
  <si>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</si>
  <si>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</si>
  <si>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</si>
  <si>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</si>
  <si>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</si>
  <si>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</si>
  <si>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</si>
  <si>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</si>
  <si>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</si>
  <si>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</si>
  <si>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</si>
  <si>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</si>
  <si>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</si>
  <si>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</si>
  <si>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</si>
  <si>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</si>
  <si>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</si>
  <si>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</si>
  <si>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</si>
  <si>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</si>
  <si>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</si>
  <si>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</si>
  <si>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</si>
  <si>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</si>
  <si>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</si>
  <si>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</si>
  <si>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</si>
  <si>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</si>
  <si>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</si>
  <si>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</si>
  <si>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</si>
  <si>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</si>
  <si>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</si>
  <si>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</si>
  <si>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</si>
  <si>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</si>
  <si>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</si>
  <si>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</si>
  <si>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</si>
  <si>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</si>
  <si>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</si>
  <si>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</si>
  <si>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</si>
  <si>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</si>
  <si>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</si>
  <si>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</si>
  <si>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</si>
  <si>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</si>
  <si>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</si>
  <si>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</si>
  <si>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</si>
  <si>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</si>
  <si>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</si>
  <si>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</si>
  <si>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</si>
  <si>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</si>
  <si>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</si>
  <si>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</si>
  <si>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</si>
  <si>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</si>
  <si>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</si>
  <si>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</si>
  <si>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</si>
  <si>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</si>
  <si>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</si>
  <si>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</si>
  <si>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</si>
  <si>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</si>
  <si>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</si>
  <si>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</si>
  <si>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</si>
  <si>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</si>
  <si>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</si>
  <si>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</si>
  <si>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</si>
  <si>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</si>
  <si>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</si>
  <si>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</si>
  <si>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</si>
  <si>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</si>
  <si>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</si>
  <si>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</si>
  <si>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</si>
  <si>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</si>
  <si>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</si>
  <si>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</si>
  <si>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</si>
  <si>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</si>
  <si>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</si>
  <si>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</si>
  <si>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</si>
  <si>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</si>
  <si>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</si>
  <si>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</si>
  <si>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</si>
  <si>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</si>
  <si>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</si>
  <si>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</si>
  <si>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</si>
  <si>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</si>
  <si>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</si>
  <si>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</si>
  <si>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</si>
  <si>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</si>
  <si>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</si>
  <si>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</si>
  <si>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</si>
  <si>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</si>
  <si>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</si>
  <si>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</si>
  <si>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</si>
  <si>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</si>
  <si>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</si>
  <si>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</si>
  <si>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</si>
  <si>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</si>
  <si>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</si>
  <si>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</si>
  <si>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</si>
  <si>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</si>
  <si>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</si>
  <si>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</si>
  <si>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</si>
  <si>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</si>
  <si>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</si>
  <si>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</si>
  <si>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</si>
  <si>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</si>
  <si>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</si>
  <si>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</si>
  <si>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</si>
  <si>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</si>
  <si>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</si>
  <si>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</si>
  <si>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</si>
  <si>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</si>
  <si>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</si>
  <si>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</si>
  <si>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</si>
  <si>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</si>
  <si>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</si>
  <si>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</si>
  <si>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</si>
  <si>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</si>
  <si>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</si>
  <si>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</si>
  <si>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</si>
  <si>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</si>
  <si>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</si>
  <si>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</si>
  <si>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</si>
  <si>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</si>
  <si>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</si>
  <si>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</si>
  <si>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</si>
  <si>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</si>
  <si>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</si>
  <si>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</si>
  <si>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</si>
  <si>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</si>
  <si>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</si>
  <si>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</si>
  <si>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</si>
  <si>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</si>
  <si>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</si>
  <si>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</si>
  <si>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</si>
  <si>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</si>
  <si>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</si>
  <si>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</si>
  <si>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</si>
  <si>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</si>
  <si>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</si>
  <si>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</si>
  <si>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</si>
  <si>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</si>
  <si>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</si>
  <si>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</si>
  <si>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</si>
  <si>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</si>
  <si>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</si>
  <si>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</si>
  <si>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</si>
  <si>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</si>
  <si>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</si>
  <si>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</si>
  <si>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</si>
  <si>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</si>
  <si>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</si>
  <si>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</si>
  <si>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</si>
  <si>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</si>
  <si>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</si>
  <si>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</si>
  <si>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</si>
  <si>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</si>
  <si>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</si>
  <si>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</si>
  <si>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</si>
  <si>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</si>
  <si>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</si>
  <si>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</si>
  <si>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</si>
  <si>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</si>
  <si>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</si>
  <si>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</si>
  <si>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</si>
  <si>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</si>
  <si>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</si>
  <si>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</si>
  <si>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</si>
  <si>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</si>
  <si>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</si>
  <si>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</si>
  <si>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</si>
  <si>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</si>
  <si>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</si>
  <si>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</si>
  <si>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</si>
  <si>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</si>
  <si>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</si>
  <si>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</si>
  <si>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</si>
  <si>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</si>
  <si>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</si>
  <si>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</si>
  <si>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</si>
  <si>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</si>
  <si>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</si>
  <si>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</si>
  <si>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</si>
  <si>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</si>
  <si>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</si>
  <si>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</si>
  <si>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</si>
  <si>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</si>
  <si>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</si>
  <si>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</si>
  <si>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</si>
  <si>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</si>
  <si>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</si>
  <si>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</si>
  <si>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</si>
  <si>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</si>
  <si>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</si>
  <si>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</si>
  <si>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</si>
  <si>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</si>
  <si>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</si>
  <si>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</si>
  <si>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</si>
  <si>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</si>
  <si>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</si>
  <si>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</si>
  <si>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</si>
  <si>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</si>
  <si>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</si>
  <si>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</si>
  <si>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</si>
  <si>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</si>
  <si>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</si>
  <si>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</si>
  <si>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</si>
  <si>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</si>
  <si>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</si>
  <si>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</si>
  <si>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</si>
  <si>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</si>
  <si>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</si>
  <si>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</si>
  <si>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</si>
  <si>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</si>
  <si>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</si>
  <si>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</si>
  <si>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</si>
  <si>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</si>
  <si>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</si>
  <si>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</si>
  <si>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</si>
  <si>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</si>
  <si>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</si>
  <si>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</si>
  <si>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</si>
  <si>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</si>
  <si>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</si>
  <si>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</si>
  <si>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</si>
  <si>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</si>
  <si>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</si>
  <si>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</si>
  <si>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</si>
  <si>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</si>
  <si>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</si>
  <si>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</si>
  <si>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</si>
  <si>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</si>
  <si>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</si>
  <si>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</si>
  <si>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</si>
  <si>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</si>
  <si>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</si>
  <si>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</si>
  <si>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</si>
  <si>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</si>
  <si>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</si>
  <si>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</si>
  <si>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</si>
  <si>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</si>
  <si>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</si>
  <si>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</si>
  <si>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</si>
  <si>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</si>
  <si>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</si>
  <si>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</si>
  <si>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</si>
  <si>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</si>
  <si>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</si>
  <si>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</si>
  <si>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</si>
  <si>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</si>
  <si>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</si>
  <si>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</si>
  <si>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</si>
  <si>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</si>
  <si>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</si>
  <si>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</si>
  <si>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</si>
  <si>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</si>
  <si>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</si>
  <si>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</si>
  <si>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</si>
  <si>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</si>
  <si>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</si>
  <si>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</si>
  <si>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</si>
  <si>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</si>
  <si>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</si>
  <si>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</si>
  <si>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</si>
  <si>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</si>
  <si>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</si>
  <si>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</si>
  <si>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</si>
  <si>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</si>
  <si>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</si>
  <si>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</si>
  <si>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</si>
  <si>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</si>
  <si>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</si>
  <si>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</si>
  <si>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</si>
  <si>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</si>
  <si>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</si>
  <si>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</si>
  <si>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</si>
  <si>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</si>
  <si>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</si>
  <si>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</si>
  <si>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</si>
  <si>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</si>
  <si>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</si>
  <si>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</si>
  <si>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</si>
  <si>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</si>
  <si>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</si>
  <si>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</si>
  <si>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</si>
  <si>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</si>
  <si>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</si>
  <si>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</si>
  <si>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</si>
  <si>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</si>
  <si>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</si>
  <si>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</si>
  <si>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</si>
  <si>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</si>
  <si>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</si>
  <si>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</si>
  <si>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</si>
  <si>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</si>
  <si>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</si>
  <si>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</si>
  <si>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</si>
  <si>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</si>
  <si>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</si>
  <si>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</si>
  <si>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</si>
  <si>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</si>
  <si>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</si>
  <si>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</si>
  <si>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</si>
  <si>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</si>
  <si>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</si>
  <si>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</si>
  <si>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</si>
  <si>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</si>
  <si>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</si>
  <si>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</si>
  <si>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</si>
  <si>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</si>
  <si>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</si>
  <si>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</si>
  <si>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</si>
  <si>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</si>
  <si>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</si>
  <si>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</si>
  <si>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</si>
  <si>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</si>
  <si>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</si>
  <si>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</si>
  <si>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</si>
  <si>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</si>
  <si>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</si>
  <si>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</si>
  <si>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</si>
  <si>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</si>
  <si>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</si>
  <si>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</si>
  <si>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</si>
  <si>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</si>
  <si>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</si>
  <si>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</si>
  <si>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</si>
  <si>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</si>
  <si>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</si>
  <si>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</si>
  <si>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</si>
  <si>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</si>
  <si>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</si>
  <si>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</si>
  <si>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</si>
  <si>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</si>
  <si>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</si>
  <si>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</si>
  <si>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</si>
  <si>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</si>
  <si>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</si>
  <si>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</si>
  <si>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</si>
  <si>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</si>
  <si>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</si>
  <si>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</si>
  <si>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</si>
  <si>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</si>
  <si>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</si>
  <si>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</si>
  <si>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</si>
  <si>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</si>
  <si>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</si>
  <si>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</si>
  <si>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</si>
  <si>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</si>
  <si>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</si>
  <si>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</si>
  <si>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</si>
  <si>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</si>
  <si>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</si>
  <si>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</si>
  <si>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</si>
  <si>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</si>
  <si>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</si>
  <si>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</si>
  <si>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</si>
  <si>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</si>
  <si>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</si>
  <si>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</si>
  <si>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</si>
  <si>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</si>
  <si>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</si>
  <si>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</si>
  <si>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</si>
  <si>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</si>
  <si>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</si>
  <si>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</si>
  <si>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</si>
  <si>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</si>
  <si>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</si>
  <si>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</si>
  <si>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</si>
  <si>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</si>
  <si>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</si>
  <si>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</si>
  <si>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</si>
  <si>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</si>
  <si>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</si>
  <si>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</si>
  <si>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</si>
  <si>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</si>
  <si>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</si>
  <si>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</si>
  <si>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</si>
  <si>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</si>
  <si>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</si>
  <si>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</si>
  <si>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</si>
  <si>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</si>
  <si>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</si>
  <si>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</si>
  <si>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</si>
  <si>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</si>
  <si>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</si>
  <si>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</si>
  <si>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</si>
  <si>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</si>
  <si>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</si>
  <si>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</si>
  <si>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</si>
  <si>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</si>
  <si>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</si>
  <si>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</si>
  <si>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</si>
  <si>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</si>
  <si>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</si>
  <si>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</si>
  <si>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</si>
  <si>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</si>
  <si>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</si>
  <si>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</si>
  <si>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</si>
  <si>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</si>
  <si>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</si>
  <si>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</si>
  <si>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</si>
  <si>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</si>
  <si>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</si>
  <si>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</si>
  <si>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</si>
  <si>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</si>
  <si>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</si>
  <si>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</si>
  <si>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</si>
  <si>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</si>
  <si>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</si>
  <si>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</si>
  <si>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</si>
  <si>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</si>
  <si>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</si>
  <si>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</si>
  <si>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</si>
  <si>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</si>
  <si>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</si>
  <si>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</si>
  <si>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</si>
  <si>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</si>
  <si>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</si>
  <si>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</si>
  <si>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</si>
  <si>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</si>
  <si>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</si>
  <si>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</si>
  <si>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</si>
  <si>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</si>
  <si>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</si>
  <si>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</si>
  <si>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</si>
  <si>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</si>
  <si>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</si>
  <si>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</si>
  <si>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</si>
  <si>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</si>
  <si>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</si>
  <si>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</si>
  <si>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</si>
  <si>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</si>
  <si>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</si>
  <si>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</si>
  <si>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</si>
  <si>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</si>
  <si>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</si>
  <si>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</si>
  <si>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</si>
  <si>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</si>
  <si>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</si>
  <si>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</si>
  <si>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</si>
  <si>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</si>
  <si>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</si>
  <si>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</si>
  <si>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</si>
  <si>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</si>
  <si>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</si>
  <si>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</si>
  <si>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</si>
  <si>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</si>
  <si>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</si>
  <si>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</si>
  <si>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</si>
  <si>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</si>
  <si>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</si>
  <si>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</si>
  <si>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</si>
  <si>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</si>
  <si>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</si>
  <si>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</si>
  <si>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</si>
  <si>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</si>
  <si>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</si>
  <si>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</si>
  <si>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</si>
  <si>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</si>
  <si>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</si>
  <si>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</si>
  <si>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</si>
  <si>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</si>
  <si>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</si>
  <si>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</si>
  <si>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</si>
  <si>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</si>
  <si>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</si>
  <si>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</si>
  <si>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</si>
  <si>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</si>
  <si>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</si>
  <si>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</si>
  <si>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</si>
  <si>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</si>
  <si>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</si>
  <si>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</si>
  <si>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</si>
  <si>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</si>
  <si>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</si>
  <si>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</si>
  <si>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</si>
  <si>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</si>
  <si>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</si>
  <si>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</si>
  <si>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</si>
  <si>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</si>
  <si>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</si>
  <si>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</si>
  <si>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</si>
  <si>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</si>
  <si>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</si>
  <si>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</si>
  <si>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</si>
  <si>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</si>
  <si>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</si>
  <si>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</si>
  <si>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</si>
  <si>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</si>
  <si>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</si>
  <si>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</si>
  <si>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</si>
  <si>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</si>
  <si>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</si>
  <si>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</si>
  <si>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</si>
  <si>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</si>
  <si>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</si>
  <si>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</si>
  <si>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</si>
  <si>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</si>
  <si>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</si>
  <si>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</si>
  <si>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</si>
  <si>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</si>
  <si>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</si>
  <si>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</si>
  <si>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</si>
  <si>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</si>
  <si>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</si>
  <si>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</si>
  <si>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</si>
  <si>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</si>
  <si>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</si>
  <si>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</si>
  <si>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</si>
  <si>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</si>
  <si>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</si>
  <si>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</si>
  <si>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</si>
  <si>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</si>
  <si>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</si>
  <si>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</si>
  <si>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</si>
  <si>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</si>
  <si>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</si>
  <si>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</si>
  <si>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</si>
  <si>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</si>
  <si>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</si>
  <si>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</si>
  <si>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</si>
  <si>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</si>
  <si>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</si>
  <si>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</si>
  <si>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</si>
  <si>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</si>
  <si>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</si>
  <si>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</si>
  <si>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</si>
  <si>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</si>
  <si>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</si>
  <si>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</si>
  <si>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</si>
  <si>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</si>
  <si>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</si>
  <si>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</si>
  <si>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</si>
  <si>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</si>
  <si>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</si>
  <si>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</si>
  <si>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</si>
  <si>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</si>
  <si>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</si>
  <si>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</si>
  <si>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</si>
  <si>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</si>
  <si>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</si>
  <si>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</si>
  <si>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</si>
  <si>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</si>
  <si>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</si>
  <si>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</si>
  <si>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</si>
  <si>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</si>
  <si>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</si>
  <si>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</si>
  <si>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</si>
  <si>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</si>
  <si>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</si>
  <si>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</si>
  <si>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</si>
  <si>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</si>
  <si>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</si>
  <si>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</si>
  <si>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</si>
  <si>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</si>
  <si>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</si>
  <si>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</si>
  <si>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</si>
  <si>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</si>
  <si>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</si>
  <si>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</si>
  <si>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</si>
  <si>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</si>
  <si>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</si>
  <si>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</si>
  <si>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</si>
  <si>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</si>
  <si>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</si>
  <si>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</si>
  <si>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</si>
  <si>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</si>
  <si>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</si>
  <si>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</si>
  <si>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</si>
  <si>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</si>
  <si>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</si>
  <si>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</si>
  <si>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</si>
  <si>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</si>
  <si>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</si>
  <si>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</si>
  <si>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</si>
  <si>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</si>
  <si>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</si>
  <si>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</si>
  <si>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</si>
  <si>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</si>
  <si>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</si>
  <si>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</si>
  <si>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</si>
  <si>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</si>
  <si>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</si>
  <si>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</si>
  <si>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</si>
  <si>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</si>
  <si>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</si>
  <si>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</si>
  <si>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</si>
  <si>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</si>
  <si>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</si>
  <si>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</si>
  <si>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</si>
  <si>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</si>
  <si>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</si>
  <si>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</si>
  <si>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</si>
  <si>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</si>
  <si>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</si>
  <si>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</si>
  <si>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</si>
  <si>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</si>
  <si>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</si>
  <si>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</si>
  <si>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</si>
  <si>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</si>
  <si>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</si>
  <si>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</si>
  <si>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</si>
  <si>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</si>
  <si>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</si>
  <si>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</si>
  <si>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</si>
  <si>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</si>
  <si>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</si>
  <si>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</si>
  <si>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</si>
  <si>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</si>
  <si>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</si>
  <si>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</si>
  <si>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</si>
  <si>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</si>
  <si>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</si>
  <si>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</si>
  <si>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</si>
  <si>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</si>
  <si>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</si>
  <si>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</si>
  <si>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</si>
  <si>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</si>
  <si>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</si>
  <si>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</si>
  <si>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</si>
  <si>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</si>
  <si>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</si>
  <si>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</si>
  <si>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</si>
  <si>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</si>
  <si>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</si>
  <si>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</si>
  <si>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</si>
  <si>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</si>
  <si>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</si>
  <si>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</si>
  <si>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</si>
  <si>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</si>
  <si>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</si>
  <si>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</si>
  <si>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</si>
  <si>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</si>
  <si>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</si>
  <si>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</si>
  <si>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</si>
  <si>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</si>
  <si>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</si>
  <si>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</si>
  <si>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</si>
  <si>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</si>
  <si>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</si>
  <si>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</si>
  <si>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</si>
  <si>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</si>
  <si>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</si>
  <si>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</si>
  <si>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</si>
  <si>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</si>
  <si>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</si>
  <si>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</si>
  <si>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</si>
  <si>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</si>
  <si>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</si>
  <si>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</si>
  <si>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</si>
  <si>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</si>
  <si>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</si>
  <si>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</si>
  <si>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</si>
  <si>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</si>
  <si>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</si>
  <si>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</si>
  <si>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</si>
  <si>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</si>
  <si>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</si>
  <si>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</si>
  <si>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</si>
  <si>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</si>
  <si>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</si>
  <si>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</si>
  <si>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</si>
  <si>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</si>
  <si>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</si>
  <si>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</si>
  <si>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</si>
  <si>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</si>
  <si>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</si>
  <si>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</si>
  <si>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</si>
  <si>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</si>
  <si>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</si>
  <si>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</si>
  <si>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</si>
  <si>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</si>
  <si>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</si>
  <si>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</si>
  <si>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</si>
  <si>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</si>
  <si>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</si>
  <si>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</si>
  <si>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</si>
  <si>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</si>
  <si>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</si>
  <si>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</si>
  <si>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</si>
  <si>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</si>
  <si>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</si>
  <si>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</si>
  <si>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</si>
  <si>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</si>
  <si>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</si>
  <si>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</si>
  <si>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</si>
  <si>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</si>
  <si>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</si>
  <si>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</si>
  <si>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</si>
  <si>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</si>
  <si>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</si>
  <si>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</si>
  <si>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</si>
  <si>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</si>
  <si>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</si>
  <si>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</si>
  <si>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</si>
  <si>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</si>
  <si>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</si>
  <si>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</si>
  <si>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</si>
  <si>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</si>
  <si>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</si>
  <si>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</si>
  <si>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</si>
  <si>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</si>
  <si>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</si>
  <si>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</si>
  <si>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</si>
  <si>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</si>
  <si>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</si>
  <si>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</si>
  <si>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</si>
  <si>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</si>
  <si>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</si>
  <si>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</si>
  <si>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</si>
  <si>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</si>
  <si>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</si>
  <si>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</si>
  <si>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</si>
  <si>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</si>
  <si>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</si>
  <si>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</si>
  <si>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</si>
  <si>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</si>
  <si>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</si>
  <si>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</si>
  <si>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</si>
  <si>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</si>
  <si>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</si>
  <si>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</si>
  <si>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</si>
  <si>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</si>
  <si>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</si>
  <si>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</si>
  <si>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</si>
  <si>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</si>
  <si>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</si>
  <si>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</si>
  <si>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</si>
  <si>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</si>
  <si>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</si>
  <si>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</si>
  <si>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</si>
  <si>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</si>
  <si>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</si>
  <si>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</si>
  <si>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</si>
  <si>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</si>
  <si>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</si>
  <si>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</si>
  <si>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</si>
  <si>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</si>
  <si>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</si>
  <si>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</si>
  <si>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</si>
  <si>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</si>
  <si>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</si>
  <si>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</si>
  <si>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</si>
  <si>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</si>
  <si>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</si>
  <si>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</si>
  <si>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</si>
  <si>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</si>
  <si>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</si>
  <si>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</si>
  <si>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</si>
  <si>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</si>
  <si>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</si>
  <si>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</si>
  <si>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</si>
  <si>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</si>
  <si>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</si>
  <si>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</si>
  <si>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</si>
  <si>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</si>
  <si>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</si>
  <si>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</si>
  <si>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</si>
  <si>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</si>
  <si>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</si>
  <si>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</si>
  <si>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</si>
  <si>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</si>
  <si>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</si>
  <si>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</si>
  <si>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</si>
  <si>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</si>
  <si>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</si>
  <si>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</si>
  <si>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</si>
  <si>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</si>
  <si>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</si>
  <si>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</si>
  <si>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</si>
  <si>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</si>
  <si>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</si>
  <si>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</si>
  <si>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</si>
  <si>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</si>
  <si>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</si>
  <si>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</si>
  <si>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</si>
  <si>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</si>
  <si>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</si>
  <si>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</si>
  <si>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</si>
  <si>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</si>
  <si>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</si>
  <si>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</si>
  <si>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</si>
  <si>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</si>
  <si>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</si>
  <si>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</si>
  <si>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</si>
  <si>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</si>
  <si>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</si>
  <si>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</si>
  <si>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</si>
  <si>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</si>
  <si>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</si>
  <si>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</si>
  <si>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</si>
  <si>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</si>
  <si>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</si>
  <si>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</si>
  <si>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</si>
  <si>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</si>
  <si>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</si>
  <si>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</si>
  <si>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</si>
  <si>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</si>
  <si>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</si>
  <si>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</si>
  <si>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</si>
  <si>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</si>
  <si>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</si>
  <si>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</si>
  <si>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</si>
  <si>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</si>
  <si>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</si>
  <si>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</si>
  <si>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</si>
  <si>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</si>
  <si>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</si>
  <si>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</si>
  <si>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</si>
  <si>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</si>
  <si>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</si>
  <si>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</si>
  <si>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</si>
  <si>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</si>
  <si>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</si>
  <si>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</si>
  <si>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</si>
  <si>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</si>
  <si>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</si>
  <si>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</si>
  <si>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</si>
  <si>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</si>
  <si>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</si>
  <si>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</si>
  <si>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</si>
  <si>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</si>
  <si>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</si>
  <si>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</si>
  <si>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</si>
  <si>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</si>
  <si>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</si>
  <si>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</si>
  <si>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</si>
  <si>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</si>
  <si>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</si>
  <si>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</si>
  <si>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</si>
  <si>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</si>
  <si>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</si>
  <si>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</si>
  <si>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</si>
  <si>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</si>
  <si>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</si>
  <si>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</si>
  <si>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</si>
  <si>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</si>
  <si>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</si>
  <si>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</si>
  <si>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</si>
  <si>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</si>
  <si>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</si>
  <si>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</si>
  <si>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</si>
  <si>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</si>
  <si>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</si>
  <si>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</si>
  <si>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</si>
  <si>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</si>
  <si>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</si>
  <si>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</si>
  <si>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</si>
  <si>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</si>
  <si>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</si>
  <si>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</si>
  <si>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</si>
  <si>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</si>
  <si>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</si>
  <si>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</si>
  <si>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</si>
  <si>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</si>
  <si>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</si>
  <si>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</si>
  <si>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</si>
  <si>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</si>
  <si>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</si>
  <si>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</si>
  <si>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</si>
  <si>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</si>
  <si>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</si>
  <si>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</si>
  <si>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</si>
  <si>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</si>
  <si>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</si>
  <si>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</si>
  <si>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</si>
  <si>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</si>
  <si>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</si>
  <si>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</si>
  <si>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</si>
  <si>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</si>
  <si>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</si>
  <si>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</si>
  <si>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</si>
  <si>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</si>
  <si>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</si>
  <si>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</si>
  <si>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</si>
  <si>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</si>
  <si>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</si>
  <si>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</si>
  <si>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</si>
  <si>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</si>
  <si>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</si>
  <si>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</si>
  <si>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</si>
  <si>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</si>
  <si>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</si>
  <si>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</si>
  <si>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</si>
  <si>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</si>
  <si>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</si>
  <si>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</si>
  <si>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</si>
  <si>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</si>
  <si>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</si>
  <si>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</si>
  <si>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</si>
  <si>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</si>
  <si>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</si>
  <si>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</si>
  <si>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</si>
  <si>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</si>
  <si>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</si>
  <si>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</si>
  <si>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</si>
  <si>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</si>
  <si>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</si>
  <si>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</si>
  <si>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</si>
  <si>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</si>
  <si>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</si>
  <si>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</si>
  <si>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</si>
  <si>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</si>
  <si>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</si>
  <si>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</si>
  <si>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</si>
  <si>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</si>
  <si>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</si>
  <si>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</si>
  <si>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</si>
  <si>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</si>
  <si>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</si>
  <si>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</si>
  <si>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</si>
  <si>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</si>
  <si>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</si>
  <si>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</si>
  <si>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</si>
  <si>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</si>
  <si>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</si>
  <si>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</si>
  <si>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</si>
  <si>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</si>
  <si>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</si>
  <si>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</si>
  <si>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</si>
  <si>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</si>
  <si>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</si>
  <si>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</si>
  <si>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</si>
  <si>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</si>
  <si>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</si>
  <si>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</si>
  <si>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</si>
  <si>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</si>
  <si>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</si>
  <si>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</si>
  <si>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</si>
  <si>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</si>
  <si>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</si>
  <si>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</si>
  <si>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</si>
  <si>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</si>
  <si>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</si>
  <si>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</si>
  <si>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</si>
  <si>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</si>
  <si>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</si>
  <si>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</si>
  <si>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</si>
  <si>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</si>
  <si>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</si>
  <si>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</si>
  <si>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</si>
  <si>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</si>
  <si>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</si>
  <si>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</si>
  <si>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</si>
  <si>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</si>
  <si>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</si>
  <si>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</si>
  <si>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</si>
  <si>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</si>
  <si>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</si>
  <si>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</si>
  <si>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</si>
  <si>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</si>
  <si>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</si>
  <si>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</si>
  <si>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</si>
  <si>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</si>
  <si>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</si>
  <si>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</si>
  <si>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</si>
  <si>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</si>
  <si>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</si>
  <si>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</si>
  <si>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</si>
  <si>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</si>
  <si>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</si>
  <si>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</si>
  <si>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</si>
  <si>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</si>
  <si>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</si>
  <si>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</si>
  <si>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</si>
  <si>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</si>
  <si>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</si>
  <si>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</si>
  <si>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</si>
  <si>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</si>
  <si>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</si>
  <si>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</si>
  <si>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</si>
  <si>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</si>
  <si>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</si>
  <si>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</si>
  <si>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</si>
  <si>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</si>
  <si>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</si>
  <si>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</si>
  <si>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</si>
  <si>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</si>
  <si>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</si>
  <si>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</si>
  <si>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</si>
  <si>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</si>
  <si>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</si>
  <si>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</si>
  <si>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</si>
  <si>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</si>
  <si>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</si>
  <si>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</si>
  <si>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</si>
  <si>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</si>
  <si>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</si>
  <si>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</si>
  <si>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</si>
  <si>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</si>
  <si>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</si>
  <si>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</si>
  <si>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</si>
  <si>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</si>
  <si>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</si>
  <si>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</si>
  <si>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</si>
  <si>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</si>
  <si>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</si>
  <si>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</si>
  <si>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</si>
  <si>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</si>
  <si>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</si>
  <si>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</si>
  <si>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</si>
  <si>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</si>
  <si>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</si>
  <si>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</si>
  <si>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</si>
  <si>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</si>
  <si>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</si>
  <si>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</si>
  <si>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</si>
  <si>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</si>
  <si>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</si>
  <si>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</si>
  <si>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</si>
  <si>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</si>
  <si>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</si>
  <si>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</si>
  <si>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</si>
  <si>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</si>
  <si>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</si>
  <si>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</si>
  <si>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</si>
  <si>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</si>
  <si>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</si>
  <si>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</si>
  <si>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</si>
  <si>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</si>
  <si>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</si>
  <si>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</si>
  <si>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</si>
  <si>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</si>
  <si>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</si>
  <si>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</si>
  <si>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</si>
  <si>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</si>
  <si>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</si>
  <si>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</si>
  <si>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</si>
  <si>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</si>
  <si>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</si>
  <si>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</si>
  <si>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</si>
  <si>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</si>
  <si>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</si>
  <si>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</si>
  <si>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</si>
  <si>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</si>
  <si>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</si>
  <si>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</si>
  <si>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</si>
  <si>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</si>
  <si>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</si>
  <si>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</si>
  <si>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</si>
  <si>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</si>
  <si>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</si>
  <si>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</si>
  <si>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</si>
  <si>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</si>
  <si>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</si>
  <si>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</si>
  <si>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</si>
  <si>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</si>
  <si>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</si>
  <si>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</si>
  <si>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</si>
  <si>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</si>
  <si>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</si>
  <si>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</si>
  <si>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</si>
  <si>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</si>
  <si>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</si>
  <si>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</si>
  <si>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</si>
  <si>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</si>
  <si>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</si>
  <si>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</si>
  <si>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</si>
  <si>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</si>
  <si>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</si>
  <si>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</si>
  <si>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</si>
  <si>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</si>
  <si>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</si>
  <si>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</si>
  <si>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</si>
  <si>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</si>
  <si>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</si>
  <si>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</si>
  <si>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</si>
  <si>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</si>
  <si>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</si>
  <si>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</si>
  <si>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</si>
  <si>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</si>
  <si>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</si>
  <si>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</si>
  <si>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</si>
  <si>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</si>
  <si>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</si>
  <si>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</si>
  <si>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</si>
  <si>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</si>
  <si>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</si>
  <si>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</si>
  <si>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</si>
  <si>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</si>
  <si>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</si>
  <si>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</si>
  <si>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</si>
  <si>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</si>
  <si>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</si>
  <si>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</si>
  <si>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</si>
  <si>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</si>
  <si>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</si>
  <si>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</si>
  <si>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</si>
  <si>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</si>
  <si>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</si>
  <si>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</si>
  <si>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</si>
  <si>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</si>
  <si>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</si>
  <si>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</si>
  <si>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</si>
  <si>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</si>
  <si>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</si>
  <si>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</si>
  <si>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</si>
  <si>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</si>
  <si>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</si>
  <si>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</si>
  <si>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</si>
  <si>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</si>
  <si>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</si>
  <si>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</si>
  <si>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</si>
  <si>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</si>
  <si>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</si>
  <si>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</si>
  <si>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</si>
  <si>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</si>
  <si>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</si>
  <si>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</si>
  <si>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</si>
  <si>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</si>
  <si>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</si>
  <si>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</si>
  <si>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</si>
  <si>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</si>
  <si>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</si>
  <si>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</si>
  <si>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</si>
  <si>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</si>
  <si>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</si>
  <si>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</si>
  <si>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</si>
  <si>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</si>
  <si>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</si>
  <si>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</si>
  <si>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</si>
  <si>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</si>
  <si>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</si>
  <si>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</si>
  <si>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</si>
  <si>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</si>
  <si>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</si>
  <si>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</si>
  <si>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</si>
  <si>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</si>
  <si>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</si>
  <si>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</si>
  <si>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</si>
  <si>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</si>
  <si>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</si>
  <si>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</si>
  <si>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</si>
  <si>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</si>
  <si>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</si>
  <si>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</si>
  <si>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</si>
  <si>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</si>
  <si>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</si>
  <si>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</si>
  <si>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</si>
  <si>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</si>
  <si>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</si>
  <si>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</si>
  <si>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</si>
  <si>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</si>
  <si>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</si>
  <si>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</si>
  <si>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</si>
  <si>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</si>
  <si>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</si>
  <si>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</si>
  <si>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</si>
  <si>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</si>
  <si>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</si>
  <si>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</si>
  <si>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</si>
  <si>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</si>
  <si>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</si>
  <si>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</si>
  <si>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</si>
  <si>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</si>
  <si>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</si>
  <si>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</si>
  <si>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</si>
  <si>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</si>
  <si>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</si>
  <si>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</si>
  <si>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</si>
  <si>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</si>
  <si>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</si>
  <si>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</si>
  <si>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</si>
  <si>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</si>
  <si>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</si>
  <si>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</si>
  <si>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</si>
  <si>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</si>
  <si>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</si>
  <si>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</si>
  <si>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</si>
  <si>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</si>
  <si>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</si>
  <si>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</si>
  <si>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</si>
  <si>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</si>
  <si>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</si>
  <si>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</si>
  <si>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</si>
  <si>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</si>
  <si>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</si>
  <si>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</si>
  <si>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</si>
  <si>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</si>
  <si>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</si>
  <si>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</si>
  <si>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</si>
  <si>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</si>
  <si>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</si>
  <si>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</si>
  <si>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</si>
  <si>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</si>
  <si>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</si>
  <si>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</si>
  <si>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</si>
  <si>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</si>
  <si>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</si>
  <si>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</si>
  <si>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</si>
  <si>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</si>
  <si>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</si>
  <si>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</si>
  <si>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</si>
  <si>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</si>
  <si>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</si>
  <si>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</si>
  <si>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</si>
  <si>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</si>
  <si>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</si>
  <si>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</si>
  <si>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</si>
  <si>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</si>
  <si>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</si>
  <si>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</si>
  <si>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</si>
  <si>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</si>
  <si>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</si>
  <si>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</si>
  <si>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</si>
  <si>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</si>
  <si>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</si>
  <si>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</si>
  <si>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</si>
  <si>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</si>
  <si>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</si>
  <si>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</si>
  <si>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</si>
  <si>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</si>
  <si>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</si>
  <si>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</si>
  <si>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</si>
  <si>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</si>
  <si>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</si>
  <si>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</si>
  <si>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</si>
  <si>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</si>
  <si>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</si>
  <si>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</si>
  <si>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</si>
  <si>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</si>
  <si>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</si>
  <si>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</si>
  <si>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</si>
  <si>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</si>
  <si>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</si>
  <si>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</si>
  <si>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</si>
  <si>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</si>
  <si>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</si>
  <si>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</si>
  <si>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</si>
  <si>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</si>
  <si>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</si>
  <si>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</si>
  <si>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</si>
  <si>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</si>
  <si>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</si>
  <si>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</si>
  <si>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</si>
  <si>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</si>
  <si>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</si>
  <si>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</si>
  <si>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</si>
  <si>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</si>
  <si>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</si>
  <si>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</si>
  <si>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</si>
  <si>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</si>
  <si>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</si>
  <si>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</si>
  <si>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</si>
  <si>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</si>
  <si>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</si>
  <si>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</si>
  <si>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</si>
  <si>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</si>
  <si>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</si>
  <si>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</si>
  <si>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</si>
  <si>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</si>
  <si>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</si>
  <si>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</si>
  <si>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</si>
  <si>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</si>
  <si>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</si>
  <si>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</si>
  <si>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</si>
  <si>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</si>
  <si>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</si>
  <si>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</si>
  <si>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</si>
  <si>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</si>
  <si>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</si>
  <si>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</si>
  <si>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</si>
  <si>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</si>
  <si>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</si>
  <si>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</si>
  <si>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</si>
  <si>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</si>
  <si>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</si>
  <si>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</si>
  <si>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</si>
  <si>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</si>
  <si>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</si>
  <si>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</si>
  <si>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</si>
  <si>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</si>
  <si>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</si>
  <si>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</si>
  <si>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</si>
  <si>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</si>
  <si>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</si>
  <si>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</si>
  <si>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</si>
  <si>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</si>
  <si>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</si>
  <si>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</si>
  <si>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</si>
  <si>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</si>
  <si>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</si>
  <si>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</si>
  <si>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</si>
  <si>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</si>
  <si>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</si>
  <si>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</si>
  <si>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</si>
  <si>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</si>
  <si>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</si>
  <si>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</si>
  <si>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</si>
  <si>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</si>
  <si>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</si>
  <si>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</si>
  <si>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</si>
  <si>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</si>
  <si>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</si>
  <si>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</si>
  <si>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</si>
  <si>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</si>
  <si>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</si>
  <si>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</si>
  <si>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</si>
  <si>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</si>
  <si>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</si>
  <si>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</si>
  <si>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</si>
  <si>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</si>
  <si>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</si>
  <si>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</si>
  <si>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</si>
  <si>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</si>
  <si>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</si>
  <si>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</si>
  <si>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</si>
  <si>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</si>
  <si>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</si>
  <si>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</si>
  <si>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</si>
  <si>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</si>
  <si>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</si>
  <si>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</si>
  <si>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</si>
  <si>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</si>
  <si>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</si>
  <si>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</si>
  <si>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</si>
  <si>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</si>
  <si>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</si>
  <si>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</si>
  <si>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</si>
  <si>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</si>
  <si>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</si>
  <si>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</si>
  <si>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</si>
  <si>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</si>
  <si>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</si>
  <si>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</si>
  <si>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</si>
  <si>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</si>
  <si>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</si>
  <si>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</si>
  <si>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</si>
  <si>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</si>
  <si>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</si>
  <si>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</si>
  <si>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</si>
  <si>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</si>
  <si>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</si>
  <si>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</si>
  <si>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</si>
  <si>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</si>
  <si>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</si>
  <si>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</si>
  <si>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</si>
  <si>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</si>
  <si>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</si>
  <si>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</si>
  <si>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</si>
  <si>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</si>
  <si>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</si>
  <si>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</si>
  <si>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</si>
  <si>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</si>
  <si>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</si>
  <si>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</si>
  <si>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</si>
  <si>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</si>
  <si>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</si>
  <si>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</si>
  <si>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</si>
  <si>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</si>
  <si>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</si>
  <si>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</si>
  <si>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</si>
  <si>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</si>
  <si>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</si>
  <si>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</si>
  <si>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</si>
  <si>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</si>
  <si>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</si>
  <si>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</si>
  <si>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</si>
  <si>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</si>
  <si>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</si>
  <si>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</si>
  <si>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</si>
  <si>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</si>
  <si>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</si>
  <si>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</si>
  <si>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</si>
  <si>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</si>
  <si>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</si>
  <si>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</si>
  <si>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</si>
  <si>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</si>
  <si>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</si>
  <si>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</si>
  <si>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</si>
  <si>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</si>
  <si>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</si>
  <si>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</si>
  <si>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</si>
  <si>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</si>
  <si>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</si>
  <si>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</si>
  <si>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</si>
  <si>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</si>
  <si>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</si>
  <si>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</si>
  <si>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</si>
  <si>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</si>
  <si>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</si>
  <si>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</si>
  <si>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</si>
  <si>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</si>
  <si>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</si>
  <si>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</si>
  <si>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</si>
  <si>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</si>
  <si>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</si>
  <si>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</si>
  <si>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</si>
  <si>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</si>
  <si>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</si>
  <si>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</si>
  <si>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</si>
  <si>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</si>
  <si>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</si>
  <si>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</si>
  <si>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</si>
  <si>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</si>
  <si>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</si>
  <si>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</si>
  <si>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</si>
  <si>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</si>
  <si>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</si>
  <si>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</si>
  <si>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</si>
  <si>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</si>
  <si>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</si>
  <si>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</si>
  <si>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</si>
  <si>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</si>
  <si>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</si>
  <si>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</si>
  <si>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</si>
  <si>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</si>
  <si>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</si>
  <si>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</si>
  <si>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</si>
  <si>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</si>
  <si>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</si>
  <si>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</si>
  <si>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</si>
  <si>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</si>
  <si>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</si>
  <si>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</si>
  <si>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</si>
  <si>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</si>
  <si>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</si>
  <si>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</si>
  <si>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</si>
  <si>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</si>
  <si>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</si>
  <si>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</si>
  <si>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</si>
  <si>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</si>
  <si>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</si>
  <si>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</si>
  <si>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</si>
  <si>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</si>
  <si>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</si>
  <si>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</si>
  <si>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</si>
  <si>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</si>
  <si>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</si>
  <si>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</si>
  <si>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</si>
  <si>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</si>
  <si>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</si>
  <si>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</si>
  <si>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</si>
  <si>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</si>
  <si>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</si>
  <si>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</si>
  <si>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</si>
  <si>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</si>
  <si>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</si>
  <si>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</si>
  <si>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</si>
  <si>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</si>
  <si>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</si>
  <si>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</si>
  <si>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</si>
  <si>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</si>
  <si>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</si>
  <si>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</si>
  <si>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</si>
  <si>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</si>
  <si>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</si>
  <si>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</si>
  <si>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</si>
  <si>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</si>
  <si>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</si>
  <si>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</si>
  <si>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</si>
  <si>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</si>
  <si>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</si>
  <si>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</si>
  <si>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</si>
  <si>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</si>
  <si>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</si>
  <si>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</si>
  <si>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</si>
  <si>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</si>
  <si>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</si>
  <si>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</si>
  <si>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</si>
  <si>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</si>
  <si>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</si>
  <si>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</si>
  <si>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</si>
  <si>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</si>
  <si>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</si>
  <si>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</si>
  <si>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</si>
  <si>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</si>
  <si>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</si>
  <si>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</si>
  <si>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</si>
  <si>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</si>
  <si>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</si>
  <si>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</si>
  <si>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</si>
  <si>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</si>
  <si>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</si>
  <si>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</si>
  <si>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</si>
  <si>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</si>
  <si>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</si>
  <si>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</si>
  <si>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</si>
  <si>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</si>
  <si>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</si>
  <si>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</si>
  <si>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</si>
  <si>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</si>
  <si>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</si>
  <si>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</si>
  <si>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</si>
  <si>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</si>
  <si>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</si>
  <si>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</si>
  <si>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</si>
  <si>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</si>
  <si>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</si>
  <si>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</si>
  <si>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</si>
  <si>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</si>
  <si>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</si>
  <si>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</si>
  <si>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</si>
  <si>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</si>
  <si>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</si>
  <si>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</si>
  <si>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</si>
  <si>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</si>
  <si>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</si>
  <si>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</si>
  <si>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</si>
  <si>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</si>
  <si>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</si>
  <si>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</si>
  <si>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</si>
  <si>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</si>
  <si>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</si>
  <si>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</si>
  <si>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</si>
  <si>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</si>
  <si>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</si>
  <si>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</si>
  <si>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</si>
  <si>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</si>
  <si>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</si>
  <si>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</si>
  <si>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</si>
  <si>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</si>
  <si>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</si>
  <si>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</si>
  <si>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</si>
  <si>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</si>
  <si>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</si>
  <si>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</si>
  <si>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</si>
  <si>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</si>
  <si>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</si>
  <si>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</si>
  <si>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</si>
  <si>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</si>
  <si>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</si>
  <si>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</si>
  <si>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</si>
  <si>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</si>
  <si>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</si>
  <si>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</si>
  <si>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</si>
  <si>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</si>
  <si>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</si>
  <si>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</si>
  <si>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</si>
  <si>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</si>
  <si>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</si>
  <si>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</si>
  <si>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</si>
  <si>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</si>
  <si>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</si>
  <si>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</si>
  <si>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</si>
  <si>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</si>
  <si>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</si>
  <si>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</si>
  <si>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</si>
  <si>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</si>
  <si>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</si>
  <si>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</si>
  <si>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</si>
  <si>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</si>
  <si>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</si>
  <si>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</si>
  <si>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</si>
  <si>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</si>
  <si>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</si>
  <si>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</si>
  <si>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</si>
  <si>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</si>
  <si>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</si>
  <si>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</si>
  <si>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</si>
  <si>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</si>
  <si>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</si>
  <si>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</si>
  <si>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</si>
  <si>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</si>
  <si>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</si>
  <si>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</si>
  <si>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</si>
  <si>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</si>
  <si>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</si>
  <si>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</si>
  <si>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</si>
  <si>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</si>
  <si>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</si>
  <si>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</si>
  <si>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</si>
  <si>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</si>
  <si>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</si>
  <si>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</si>
  <si>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</si>
  <si>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</si>
  <si>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</si>
  <si>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</si>
  <si>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</si>
  <si>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</si>
  <si>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</si>
  <si>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</si>
  <si>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</si>
  <si>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</si>
  <si>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</si>
  <si>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</si>
  <si>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</si>
  <si>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</si>
  <si>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</si>
  <si>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</si>
  <si>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</si>
  <si>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</si>
  <si>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</si>
  <si>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</si>
  <si>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</si>
  <si>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</si>
  <si>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</si>
  <si>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</si>
  <si>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</si>
  <si>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</si>
  <si>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</si>
  <si>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</si>
  <si>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</si>
  <si>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</si>
  <si>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</si>
  <si>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</si>
  <si>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</si>
  <si>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</si>
  <si>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</si>
  <si>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</si>
  <si>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</si>
  <si>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</si>
  <si>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</si>
  <si>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</si>
  <si>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</si>
  <si>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</si>
  <si>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</si>
  <si>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</si>
  <si>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</si>
  <si>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</si>
  <si>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</si>
  <si>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</si>
  <si>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</si>
  <si>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</si>
  <si>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</si>
  <si>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</si>
  <si>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</si>
  <si>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</si>
  <si>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</si>
  <si>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</si>
  <si>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</si>
  <si>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</si>
  <si>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</si>
  <si>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</si>
  <si>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</si>
  <si>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</si>
  <si>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</si>
  <si>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</si>
  <si>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</si>
  <si>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</si>
  <si>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</si>
  <si>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</si>
  <si>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</si>
  <si>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</si>
  <si>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</si>
  <si>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</si>
  <si>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</si>
  <si>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</si>
  <si>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</si>
  <si>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</si>
  <si>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</si>
  <si>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</si>
  <si>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</si>
  <si>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</si>
  <si>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</si>
  <si>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</si>
  <si>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</si>
  <si>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</si>
  <si>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</si>
  <si>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</si>
  <si>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</si>
  <si>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</si>
  <si>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</si>
  <si>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</si>
  <si>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</si>
  <si>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</si>
  <si>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</si>
  <si>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</si>
  <si>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</si>
  <si>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</si>
  <si>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</si>
  <si>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</si>
  <si>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</si>
  <si>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</si>
  <si>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</si>
  <si>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</si>
  <si>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</si>
  <si>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</si>
  <si>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</si>
  <si>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</si>
  <si>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</si>
  <si>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</si>
  <si>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</si>
  <si>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</si>
  <si>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</si>
  <si>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</si>
  <si>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</si>
  <si>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</si>
  <si>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</si>
  <si>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</si>
  <si>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</si>
  <si>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</si>
  <si>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</si>
  <si>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</si>
  <si>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</si>
  <si>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</si>
  <si>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</si>
  <si>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</si>
  <si>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</si>
  <si>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</si>
  <si>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</si>
  <si>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</si>
  <si>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</si>
  <si>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</si>
  <si>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</si>
  <si>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</si>
  <si>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</si>
  <si>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</si>
  <si>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</si>
  <si>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</si>
  <si>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</si>
  <si>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</si>
  <si>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</si>
  <si>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</si>
  <si>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</si>
  <si>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</si>
  <si>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</si>
  <si>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</si>
  <si>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</si>
  <si>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</si>
  <si>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</si>
  <si>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</si>
  <si>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</si>
  <si>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</si>
  <si>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</si>
  <si>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</si>
  <si>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</si>
  <si>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</si>
  <si>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</si>
  <si>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</si>
  <si>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</si>
  <si>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</si>
  <si>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</si>
  <si>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</si>
  <si>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</si>
  <si>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</si>
  <si>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</si>
  <si>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</si>
  <si>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</si>
  <si>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</si>
  <si>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</si>
  <si>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</si>
  <si>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</si>
  <si>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</si>
  <si>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</si>
  <si>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</si>
  <si>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</si>
  <si>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</si>
  <si>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</si>
  <si>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</si>
  <si>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</si>
  <si>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</si>
  <si>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</si>
  <si>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</si>
  <si>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</si>
  <si>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</si>
  <si>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</si>
  <si>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</si>
  <si>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</si>
  <si>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</si>
  <si>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</si>
  <si>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</si>
  <si>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</si>
  <si>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</si>
  <si>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</si>
  <si>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</si>
  <si>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</si>
  <si>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</si>
  <si>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</si>
  <si>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</si>
  <si>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</si>
  <si>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</si>
  <si>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</si>
  <si>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</si>
  <si>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</si>
  <si>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</si>
  <si>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</si>
  <si>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</si>
  <si>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</si>
  <si>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</si>
  <si>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</si>
  <si>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</si>
  <si>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</si>
  <si>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</si>
  <si>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</si>
  <si>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</si>
  <si>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</si>
  <si>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</si>
  <si>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</si>
  <si>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</si>
  <si>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</si>
  <si>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</si>
  <si>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</si>
  <si>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</si>
  <si>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</si>
  <si>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</si>
  <si>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</si>
  <si>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</si>
  <si>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</si>
  <si>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</si>
  <si>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</si>
  <si>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</si>
  <si>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</si>
  <si>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</si>
  <si>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</si>
  <si>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</si>
  <si>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</si>
  <si>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</si>
  <si>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</si>
  <si>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</si>
  <si>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</si>
  <si>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</si>
  <si>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</si>
  <si>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</si>
  <si>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</si>
  <si>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</si>
  <si>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</si>
  <si>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</si>
  <si>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</si>
  <si>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</si>
  <si>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</si>
  <si>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</si>
  <si>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</si>
  <si>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</si>
  <si>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</si>
  <si>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</si>
  <si>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</si>
  <si>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</si>
  <si>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</si>
  <si>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</si>
  <si>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</si>
  <si>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</si>
  <si>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</si>
  <si>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</si>
  <si>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</si>
  <si>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</si>
  <si>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</si>
  <si>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</si>
  <si>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</si>
  <si>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</si>
  <si>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</si>
  <si>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</si>
  <si>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</si>
  <si>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</si>
  <si>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</si>
  <si>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</si>
  <si>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</si>
  <si>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</si>
  <si>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</si>
  <si>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</si>
  <si>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</si>
  <si>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</si>
  <si>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</si>
  <si>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</si>
  <si>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</si>
  <si>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</si>
  <si>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</si>
  <si>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</si>
  <si>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</si>
  <si>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</si>
  <si>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</si>
  <si>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</si>
  <si>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</si>
  <si>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</si>
  <si>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</si>
  <si>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</si>
  <si>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</si>
  <si>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</si>
  <si>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</si>
  <si>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</si>
  <si>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</si>
  <si>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</si>
  <si>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</si>
  <si>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</si>
  <si>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</si>
  <si>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</si>
  <si>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</si>
  <si>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</si>
  <si>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</si>
  <si>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</si>
  <si>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</si>
  <si>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</si>
  <si>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</si>
  <si>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</si>
  <si>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</si>
  <si>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</si>
  <si>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</si>
  <si>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</si>
  <si>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</si>
  <si>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</si>
  <si>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</si>
  <si>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</si>
  <si>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</si>
  <si>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</si>
  <si>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</si>
  <si>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</si>
  <si>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</si>
  <si>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</si>
  <si>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</si>
  <si>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</si>
  <si>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</si>
  <si>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</si>
  <si>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</si>
  <si>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</si>
  <si>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</si>
  <si>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</si>
  <si>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</si>
  <si>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</si>
  <si>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</si>
  <si>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</si>
  <si>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</si>
  <si>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</si>
  <si>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</si>
  <si>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</si>
  <si>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</si>
  <si>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</si>
  <si>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</si>
  <si>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</si>
  <si>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</si>
  <si>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</si>
  <si>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</si>
  <si>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</si>
  <si>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</si>
  <si>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</si>
  <si>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</si>
  <si>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</si>
  <si>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</si>
  <si>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</si>
  <si>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</si>
  <si>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</si>
  <si>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</si>
  <si>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</si>
  <si>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</si>
  <si>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</si>
  <si>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</si>
  <si>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</si>
  <si>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</si>
  <si>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</si>
  <si>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</si>
  <si>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</si>
  <si>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</si>
  <si>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</si>
  <si>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</si>
  <si>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</si>
  <si>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</si>
  <si>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</si>
  <si>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</si>
  <si>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</si>
  <si>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</si>
  <si>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</si>
  <si>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</si>
  <si>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</si>
  <si>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</si>
  <si>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</si>
  <si>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</si>
  <si>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</si>
  <si>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</si>
  <si>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</si>
  <si>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</si>
  <si>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</si>
  <si>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</si>
  <si>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</si>
  <si>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</si>
  <si>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</si>
  <si>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</si>
  <si>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</si>
  <si>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</si>
  <si>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</si>
  <si>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</si>
  <si>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</si>
  <si>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</si>
  <si>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</si>
  <si>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</si>
  <si>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</si>
  <si>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</si>
  <si>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</si>
  <si>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</si>
  <si>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</si>
  <si>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</si>
  <si>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</si>
  <si>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</si>
  <si>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</si>
  <si>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</si>
  <si>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</si>
  <si>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</si>
  <si>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</si>
  <si>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</si>
  <si>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</si>
  <si>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</si>
  <si>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</si>
  <si>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</si>
  <si>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</si>
  <si>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</si>
  <si>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</si>
  <si>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</si>
  <si>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</si>
  <si>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</si>
  <si>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</si>
  <si>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</si>
  <si>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</si>
  <si>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</si>
  <si>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</si>
  <si>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</si>
  <si>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</si>
  <si>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</si>
  <si>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</si>
  <si>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</si>
  <si>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</si>
  <si>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</si>
  <si>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</si>
  <si>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</si>
  <si>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</si>
  <si>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</si>
  <si>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</si>
  <si>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</si>
  <si>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</si>
  <si>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</si>
  <si>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</si>
  <si>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</si>
  <si>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</si>
  <si>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</si>
  <si>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</si>
  <si>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</si>
  <si>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</si>
  <si>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</si>
  <si>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</si>
  <si>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</si>
  <si>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</si>
  <si>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</si>
  <si>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</si>
  <si>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</si>
  <si>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</si>
  <si>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</si>
  <si>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</si>
  <si>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</si>
  <si>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</si>
  <si>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</si>
  <si>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</si>
  <si>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</si>
  <si>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</si>
  <si>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</si>
  <si>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</si>
  <si>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</si>
  <si>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</si>
  <si>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</si>
  <si>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</si>
  <si>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</si>
  <si>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</si>
  <si>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</si>
  <si>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</si>
  <si>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</si>
  <si>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</si>
  <si>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</si>
  <si>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</si>
  <si>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</si>
  <si>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</si>
  <si>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</si>
  <si>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</si>
  <si>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</si>
  <si>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</si>
  <si>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</si>
  <si>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</si>
  <si>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</si>
  <si>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</si>
  <si>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</si>
  <si>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</si>
  <si>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</si>
  <si>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</si>
  <si>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</si>
  <si>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</si>
  <si>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</si>
  <si>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</si>
  <si>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</si>
  <si>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</si>
  <si>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</si>
  <si>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</si>
  <si>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</si>
  <si>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</si>
  <si>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</si>
  <si>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</si>
  <si>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</si>
  <si>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</si>
  <si>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</si>
  <si>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</si>
  <si>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</si>
  <si>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</si>
  <si>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</si>
  <si>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</si>
  <si>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</si>
  <si>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</si>
  <si>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</si>
  <si>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</si>
  <si>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</si>
  <si>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</si>
  <si>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</si>
  <si>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</si>
  <si>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</si>
  <si>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</si>
  <si>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</si>
  <si>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</si>
  <si>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</si>
  <si>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</si>
  <si>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</si>
  <si>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</si>
  <si>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</si>
  <si>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</si>
  <si>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</si>
  <si>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</si>
  <si>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</si>
  <si>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</si>
  <si>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</si>
  <si>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</si>
  <si>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</si>
  <si>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</si>
  <si>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</si>
  <si>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</si>
  <si>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</si>
  <si>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</si>
  <si>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</si>
  <si>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</si>
  <si>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</si>
  <si>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</si>
  <si>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</si>
  <si>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</si>
  <si>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</si>
  <si>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</si>
  <si>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</si>
  <si>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</si>
  <si>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</si>
  <si>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</si>
  <si>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</si>
  <si>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</si>
  <si>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</si>
  <si>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</si>
  <si>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</si>
  <si>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</si>
  <si>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</si>
  <si>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</si>
  <si>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</si>
  <si>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</si>
  <si>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</si>
  <si>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</si>
  <si>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</si>
  <si>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</si>
  <si>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</si>
  <si>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</si>
  <si>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</si>
  <si>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</si>
  <si>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</si>
  <si>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</si>
  <si>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</si>
  <si>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</si>
  <si>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</si>
  <si>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</si>
  <si>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</si>
  <si>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</si>
  <si>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</si>
  <si>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</si>
  <si>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</si>
  <si>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</si>
  <si>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</si>
  <si>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</si>
  <si>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</si>
  <si>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</si>
  <si>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</si>
  <si>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</si>
  <si>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</si>
  <si>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</si>
  <si>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</si>
  <si>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</si>
  <si>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</si>
  <si>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</si>
  <si>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</si>
  <si>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</si>
  <si>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</si>
  <si>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</si>
  <si>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</si>
  <si>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</si>
  <si>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</si>
  <si>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</si>
  <si>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</si>
  <si>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</si>
  <si>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</si>
  <si>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</si>
  <si>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</si>
  <si>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</si>
  <si>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</si>
  <si>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</si>
  <si>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</si>
  <si>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</si>
  <si>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</si>
  <si>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</si>
  <si>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</si>
  <si>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</si>
  <si>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</si>
  <si>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</si>
  <si>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</si>
  <si>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</si>
  <si>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</si>
  <si>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</si>
  <si>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</si>
  <si>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</si>
  <si>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</si>
  <si>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</si>
  <si>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</si>
  <si>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</si>
  <si>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</si>
  <si>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</si>
  <si>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</si>
  <si>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</si>
  <si>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</si>
  <si>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</si>
  <si>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</si>
  <si>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</si>
  <si>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</si>
  <si>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</si>
  <si>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</si>
  <si>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</si>
  <si>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</si>
  <si>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</si>
  <si>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</si>
  <si>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</si>
  <si>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</si>
  <si>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</si>
  <si>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</si>
  <si>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</si>
  <si>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</si>
  <si>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</si>
  <si>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</si>
  <si>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</si>
  <si>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</si>
  <si>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</si>
  <si>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</si>
  <si>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</si>
  <si>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</si>
  <si>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</si>
  <si>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</si>
  <si>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</si>
  <si>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</si>
  <si>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</si>
  <si>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</si>
  <si>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</si>
  <si>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</si>
  <si>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</si>
  <si>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</si>
  <si>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</si>
  <si>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</si>
  <si>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</si>
  <si>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</si>
  <si>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</si>
  <si>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</si>
  <si>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</si>
  <si>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</si>
  <si>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</si>
  <si>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</si>
  <si>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</si>
  <si>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</si>
  <si>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</si>
  <si>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</si>
  <si>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</si>
  <si>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</si>
  <si>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</si>
  <si>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</si>
  <si>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</si>
  <si>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</si>
  <si>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</si>
  <si>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</si>
  <si>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</si>
  <si>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</si>
  <si>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</si>
  <si>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</si>
  <si>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</si>
  <si>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</si>
  <si>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</si>
  <si>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</si>
  <si>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</si>
  <si>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</si>
  <si>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</si>
  <si>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</si>
  <si>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</si>
  <si>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</si>
  <si>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</si>
  <si>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</si>
  <si>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</si>
  <si>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</si>
  <si>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</si>
  <si>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</si>
  <si>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</si>
  <si>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</si>
  <si>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</si>
  <si>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</si>
  <si>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</si>
  <si>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</si>
  <si>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</si>
  <si>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</si>
  <si>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</si>
  <si>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</si>
  <si>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</si>
  <si>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</si>
  <si>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</si>
  <si>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</si>
  <si>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</si>
  <si>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</si>
  <si>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</si>
  <si>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</si>
  <si>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</si>
  <si>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</si>
  <si>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</si>
  <si>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</si>
  <si>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</si>
  <si>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</si>
  <si>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</si>
  <si>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</si>
  <si>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</si>
  <si>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</si>
  <si>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</si>
  <si>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</si>
  <si>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</si>
  <si>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</si>
  <si>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</si>
  <si>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</si>
  <si>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</si>
  <si>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</si>
  <si>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</si>
  <si>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</si>
  <si>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</si>
  <si>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</si>
  <si>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</si>
  <si>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</si>
  <si>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</si>
  <si>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</si>
  <si>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</si>
  <si>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</si>
  <si>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</si>
  <si>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</si>
  <si>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</si>
  <si>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</si>
  <si>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</si>
  <si>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</si>
  <si>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</si>
  <si>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</si>
  <si>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</si>
  <si>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</si>
  <si>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</si>
  <si>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</si>
  <si>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</si>
  <si>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</si>
  <si>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</si>
  <si>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</si>
  <si>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</si>
  <si>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</si>
  <si>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</si>
  <si>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</si>
  <si>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</si>
  <si>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</si>
  <si>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</si>
  <si>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</si>
  <si>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</si>
  <si>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</si>
  <si>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</si>
  <si>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</si>
  <si>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</si>
  <si>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</si>
  <si>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</si>
  <si>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</si>
  <si>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</si>
  <si>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</si>
  <si>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</si>
  <si>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</si>
  <si>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</si>
  <si>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</si>
  <si>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</si>
  <si>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</si>
  <si>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</si>
  <si>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</si>
  <si>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</si>
  <si>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</si>
  <si>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</si>
  <si>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</si>
  <si>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</si>
  <si>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</si>
  <si>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</si>
  <si>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</si>
  <si>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</si>
  <si>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</si>
  <si>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</si>
  <si>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</si>
  <si>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</si>
  <si>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</si>
  <si>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</si>
  <si>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</si>
  <si>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</si>
  <si>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</si>
  <si>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</si>
  <si>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</si>
  <si>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</si>
  <si>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</si>
  <si>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</si>
  <si>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</si>
  <si>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</si>
  <si>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</si>
  <si>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</si>
  <si>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</si>
  <si>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</si>
  <si>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</si>
  <si>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</si>
  <si>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</si>
  <si>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</si>
  <si>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</si>
  <si>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</si>
  <si>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</si>
  <si>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</si>
  <si>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</si>
  <si>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</si>
  <si>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</si>
  <si>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</si>
  <si>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</si>
  <si>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</si>
  <si>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</si>
  <si>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</si>
  <si>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</si>
  <si>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</si>
  <si>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</si>
  <si>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</si>
  <si>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</si>
  <si>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</si>
  <si>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</si>
  <si>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</si>
  <si>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</si>
  <si>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</si>
  <si>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</si>
  <si>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</si>
  <si>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</si>
  <si>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</si>
  <si>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</si>
  <si>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</si>
  <si>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</si>
  <si>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</si>
  <si>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</si>
  <si>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</si>
  <si>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</si>
  <si>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</si>
  <si>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</si>
  <si>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</si>
  <si>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</si>
  <si>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</si>
  <si>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</si>
  <si>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</si>
  <si>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</si>
  <si>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</si>
  <si>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</si>
  <si>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</si>
  <si>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</si>
  <si>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</si>
  <si>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</si>
  <si>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</si>
  <si>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</si>
  <si>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</si>
  <si>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</si>
  <si>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</si>
  <si>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</si>
  <si>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</si>
  <si>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</si>
  <si>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</si>
  <si>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</si>
  <si>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</si>
  <si>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</si>
  <si>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</si>
  <si>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</si>
  <si>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</si>
  <si>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</si>
  <si>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</si>
  <si>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</si>
  <si>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</si>
  <si>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</si>
  <si>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</si>
  <si>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</si>
  <si>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</si>
  <si>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</si>
  <si>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</si>
  <si>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</si>
  <si>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</si>
  <si>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</si>
  <si>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</si>
  <si>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</si>
  <si>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</si>
  <si>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</si>
  <si>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</si>
  <si>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</si>
  <si>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</si>
  <si>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</si>
  <si>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</si>
  <si>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</si>
  <si>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</si>
  <si>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</si>
  <si>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</si>
  <si>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</si>
  <si>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</si>
  <si>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</si>
  <si>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</si>
  <si>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</si>
  <si>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</si>
  <si>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</si>
  <si>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</si>
  <si>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</si>
  <si>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</si>
  <si>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</si>
  <si>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</si>
  <si>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</si>
  <si>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</si>
  <si>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</si>
  <si>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</si>
  <si>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</si>
  <si>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</si>
  <si>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</si>
  <si>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</si>
  <si>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</si>
  <si>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</si>
  <si>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</si>
  <si>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</si>
  <si>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</si>
  <si>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</si>
  <si>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</si>
  <si>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</si>
  <si>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</si>
  <si>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</si>
  <si>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</si>
  <si>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</si>
  <si>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</si>
  <si>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</si>
  <si>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</si>
  <si>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</si>
  <si>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</si>
  <si>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</si>
  <si>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</si>
  <si>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</si>
  <si>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</si>
  <si>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</si>
  <si>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</si>
  <si>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</si>
  <si>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</si>
  <si>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</si>
  <si>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</si>
  <si>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</si>
  <si>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</si>
  <si>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</si>
  <si>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</si>
  <si>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</si>
  <si>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</si>
  <si>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</si>
  <si>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</si>
  <si>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</si>
  <si>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</si>
  <si>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</si>
  <si>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</si>
  <si>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</si>
  <si>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</si>
  <si>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</si>
  <si>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</si>
  <si>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</si>
  <si>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</si>
  <si>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</si>
  <si>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</si>
  <si>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</si>
  <si>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</si>
  <si>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</si>
  <si>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</si>
  <si>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</si>
  <si>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</si>
  <si>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</si>
  <si>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</si>
  <si>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</si>
  <si>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</si>
  <si>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</si>
  <si>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</si>
  <si>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</si>
  <si>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</si>
  <si>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</si>
  <si>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</si>
  <si>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</si>
  <si>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</si>
  <si>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</si>
  <si>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</si>
  <si>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</si>
  <si>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</si>
  <si>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</si>
  <si>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</si>
  <si>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</si>
  <si>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</si>
  <si>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</si>
  <si>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</si>
  <si>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</si>
  <si>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</si>
  <si>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</si>
  <si>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</si>
  <si>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</si>
  <si>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</si>
  <si>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</si>
  <si>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</si>
  <si>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</si>
  <si>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</si>
  <si>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</si>
  <si>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</si>
  <si>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</si>
  <si>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</si>
  <si>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</si>
  <si>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</si>
  <si>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</si>
  <si>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</si>
  <si>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</si>
  <si>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</si>
  <si>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</si>
  <si>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</si>
  <si>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</si>
  <si>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</si>
  <si>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</si>
  <si>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</si>
  <si>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</si>
  <si>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</si>
  <si>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</si>
  <si>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</si>
  <si>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</si>
  <si>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</si>
  <si>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</si>
  <si>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</si>
  <si>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</si>
  <si>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</si>
  <si>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</si>
  <si>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</si>
  <si>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</si>
  <si>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</si>
  <si>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</si>
  <si>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</si>
  <si>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</si>
  <si>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</si>
  <si>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</si>
  <si>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</si>
  <si>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</si>
  <si>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</si>
  <si>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</si>
  <si>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</si>
  <si>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</si>
  <si>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</si>
  <si>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</si>
  <si>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</si>
  <si>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</si>
  <si>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</si>
  <si>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</si>
  <si>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</si>
  <si>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</si>
  <si>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</si>
  <si>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</si>
  <si>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</si>
  <si>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</si>
  <si>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</si>
  <si>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</si>
  <si>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</si>
  <si>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</si>
  <si>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</si>
  <si>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</si>
  <si>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</si>
  <si>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</si>
  <si>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</si>
  <si>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</si>
  <si>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</si>
  <si>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</si>
  <si>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</si>
  <si>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</si>
  <si>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</si>
  <si>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</si>
  <si>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</si>
  <si>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</si>
  <si>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</si>
  <si>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</si>
  <si>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</si>
  <si>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</si>
  <si>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</si>
  <si>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</si>
  <si>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</si>
  <si>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</si>
  <si>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</si>
  <si>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</si>
  <si>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</si>
  <si>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</si>
  <si>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</si>
  <si>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</si>
  <si>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</si>
  <si>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</si>
  <si>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</si>
  <si>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</si>
  <si>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</si>
  <si>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</si>
  <si>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</si>
  <si>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</si>
  <si>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</si>
  <si>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</si>
  <si>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</si>
  <si>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</si>
  <si>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</si>
  <si>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</si>
  <si>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</si>
  <si>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</si>
  <si>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</si>
  <si>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</si>
  <si>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</si>
  <si>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</si>
  <si>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</si>
  <si>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</si>
  <si>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</si>
  <si>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</si>
  <si>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</si>
  <si>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</si>
  <si>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</si>
  <si>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</si>
  <si>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</si>
  <si>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</si>
  <si>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</si>
  <si>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</si>
  <si>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</si>
  <si>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</si>
  <si>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</si>
  <si>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</si>
  <si>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</si>
  <si>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</si>
  <si>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</si>
  <si>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</si>
  <si>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</si>
  <si>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</si>
  <si>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</si>
  <si>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</si>
  <si>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</si>
  <si>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</si>
  <si>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</si>
  <si>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</si>
  <si>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</si>
  <si>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</si>
  <si>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</si>
  <si>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</si>
  <si>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</si>
  <si>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</si>
  <si>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</si>
  <si>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</si>
  <si>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</si>
  <si>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</si>
  <si>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</si>
  <si>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</si>
  <si>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</si>
  <si>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</si>
  <si>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</si>
  <si>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</si>
  <si>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</si>
  <si>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</si>
  <si>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</si>
  <si>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</si>
  <si>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</si>
  <si>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</si>
  <si>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</si>
  <si>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</si>
  <si>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</si>
  <si>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</si>
  <si>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</si>
  <si>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</si>
  <si>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</si>
  <si>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</si>
  <si>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</si>
  <si>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</si>
  <si>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</si>
  <si>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</si>
  <si>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</si>
  <si>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</si>
  <si>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</si>
  <si>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</si>
  <si>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</si>
  <si>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</si>
  <si>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</si>
  <si>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</si>
  <si>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</si>
  <si>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</si>
  <si>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</si>
  <si>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</si>
  <si>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</si>
  <si>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</si>
  <si>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</si>
  <si>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</si>
  <si>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</si>
  <si>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</si>
  <si>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</si>
  <si>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</si>
  <si>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</si>
  <si>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</si>
  <si>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</si>
  <si>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</si>
  <si>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</si>
  <si>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</si>
  <si>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</si>
  <si>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</si>
  <si>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</si>
  <si>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</si>
  <si>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</si>
  <si>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</si>
  <si>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</si>
  <si>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</si>
  <si>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</si>
  <si>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</si>
  <si>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</si>
  <si>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</si>
  <si>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</si>
  <si>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</si>
  <si>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</si>
  <si>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</si>
  <si>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</si>
  <si>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</si>
  <si>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</si>
  <si>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</si>
  <si>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</si>
  <si>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</si>
  <si>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</si>
  <si>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</si>
  <si>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</si>
  <si>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</si>
  <si>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</si>
  <si>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</si>
  <si>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</si>
  <si>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</si>
  <si>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</si>
  <si>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</si>
  <si>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</si>
  <si>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</si>
  <si>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</si>
  <si>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</si>
  <si>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</si>
  <si>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</si>
  <si>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</si>
  <si>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</si>
  <si>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</si>
  <si>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</si>
  <si>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</si>
  <si>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</si>
  <si>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</si>
  <si>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</si>
  <si>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</si>
  <si>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</si>
  <si>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</si>
  <si>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</si>
  <si>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</si>
  <si>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</si>
  <si>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</si>
  <si>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</si>
  <si>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</si>
  <si>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</si>
  <si>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</si>
  <si>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</si>
  <si>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</si>
  <si>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</si>
  <si>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</si>
  <si>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</si>
  <si>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</si>
  <si>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</si>
  <si>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</si>
  <si>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</si>
  <si>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</si>
  <si>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</si>
  <si>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</si>
  <si>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</si>
  <si>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</si>
  <si>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</si>
  <si>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</si>
  <si>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</si>
  <si>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</si>
  <si>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</si>
  <si>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</si>
  <si>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</si>
  <si>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</si>
  <si>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</si>
  <si>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</si>
  <si>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</si>
  <si>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</si>
  <si>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</si>
  <si>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</si>
  <si>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</si>
  <si>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</si>
  <si>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</si>
  <si>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</si>
  <si>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</si>
  <si>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</si>
  <si>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</si>
  <si>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</si>
  <si>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</si>
  <si>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</si>
  <si>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</si>
  <si>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</si>
  <si>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</si>
  <si>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</si>
  <si>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</si>
  <si>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</si>
  <si>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</si>
  <si>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</si>
  <si>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</si>
  <si>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</si>
  <si>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</si>
  <si>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</si>
  <si>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</si>
  <si>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</si>
  <si>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</si>
  <si>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</si>
  <si>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</si>
  <si>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</si>
  <si>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</si>
  <si>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</si>
  <si>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</si>
  <si>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</si>
  <si>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</si>
  <si>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</si>
  <si>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</si>
  <si>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</si>
  <si>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</si>
  <si>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</si>
  <si>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</si>
  <si>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</si>
  <si>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</si>
  <si>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</si>
  <si>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</si>
  <si>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</si>
  <si>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</si>
  <si>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</si>
  <si>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</si>
  <si>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</si>
  <si>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</si>
  <si>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</si>
  <si>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</si>
  <si>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</si>
  <si>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</si>
  <si>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</si>
  <si>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</si>
  <si>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</si>
  <si>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</si>
  <si>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</si>
  <si>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</si>
  <si>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</si>
  <si>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</si>
  <si>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</si>
  <si>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</si>
  <si>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</si>
  <si>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</si>
  <si>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</si>
  <si>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</si>
  <si>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</si>
  <si>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</si>
  <si>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</si>
  <si>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</si>
  <si>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</si>
  <si>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</si>
  <si>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</si>
  <si>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</si>
  <si>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</si>
  <si>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</si>
  <si>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</si>
  <si>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</si>
  <si>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</si>
  <si>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</si>
  <si>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</si>
  <si>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</si>
  <si>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</si>
  <si>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</si>
  <si>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</si>
  <si>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</si>
  <si>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</si>
  <si>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</si>
  <si>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</si>
  <si>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</si>
  <si>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</si>
  <si>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</si>
  <si>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</si>
  <si>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</si>
  <si>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</si>
  <si>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</si>
  <si>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</si>
  <si>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</si>
  <si>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</si>
  <si>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</si>
  <si>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</si>
  <si>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</si>
  <si>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</si>
  <si>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</si>
  <si>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</si>
  <si>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</si>
  <si>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</si>
  <si>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</si>
  <si>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</si>
  <si>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</si>
  <si>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</si>
  <si>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</si>
  <si>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</si>
  <si>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</si>
  <si>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</si>
  <si>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</si>
  <si>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</si>
  <si>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</si>
  <si>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</si>
  <si>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</si>
  <si>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</si>
  <si>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</si>
  <si>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</si>
  <si>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</si>
  <si>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</si>
  <si>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</si>
  <si>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</si>
  <si>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</si>
  <si>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</si>
  <si>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</si>
  <si>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</si>
  <si>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</si>
  <si>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</si>
  <si>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</si>
  <si>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</si>
  <si>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</si>
  <si>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</si>
  <si>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</si>
  <si>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</si>
  <si>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</si>
  <si>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</si>
  <si>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</si>
  <si>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</si>
  <si>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</si>
  <si>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</si>
  <si>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</si>
  <si>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</si>
  <si>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</si>
  <si>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</si>
  <si>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</si>
  <si>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</si>
  <si>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</si>
  <si>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</si>
  <si>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</si>
  <si>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</si>
  <si>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</si>
  <si>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</si>
  <si>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</si>
  <si>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</si>
  <si>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</si>
  <si>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</si>
  <si>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</si>
  <si>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</si>
  <si>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</si>
  <si>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</si>
  <si>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</si>
  <si>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</si>
  <si>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</si>
  <si>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</si>
  <si>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</si>
  <si>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</si>
  <si>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</si>
  <si>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</si>
  <si>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</si>
  <si>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</si>
  <si>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</si>
  <si>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</si>
  <si>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</si>
  <si>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</si>
  <si>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</si>
  <si>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</si>
  <si>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</si>
  <si>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</si>
  <si>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</si>
  <si>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</si>
  <si>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</si>
  <si>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</si>
  <si>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</si>
  <si>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</si>
  <si>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</si>
  <si>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</si>
  <si>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</si>
  <si>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</si>
  <si>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</si>
  <si>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</si>
  <si>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</si>
  <si>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</si>
  <si>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</si>
  <si>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</si>
  <si>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</si>
  <si>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</si>
  <si>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</si>
  <si>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</si>
  <si>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</si>
  <si>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</si>
  <si>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</si>
  <si>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</si>
  <si>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</si>
  <si>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</si>
  <si>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</si>
  <si>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</si>
  <si>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</si>
  <si>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</si>
  <si>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</si>
  <si>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</si>
  <si>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</si>
  <si>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</si>
  <si>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</si>
  <si>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</si>
  <si>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</si>
  <si>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</si>
  <si>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</si>
  <si>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</si>
  <si>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</si>
  <si>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</si>
  <si>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</si>
  <si>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</si>
  <si>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</si>
  <si>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</si>
  <si>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</si>
  <si>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</si>
  <si>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</si>
  <si>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</si>
  <si>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</si>
  <si>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</si>
  <si>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</si>
  <si>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</si>
  <si>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</si>
  <si>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</si>
  <si>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</si>
  <si>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</si>
  <si>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</si>
  <si>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</si>
  <si>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</si>
  <si>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</si>
  <si>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</si>
  <si>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</si>
  <si>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</si>
  <si>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</si>
  <si>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</si>
  <si>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</si>
  <si>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</si>
  <si>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</si>
  <si>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</si>
  <si>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</si>
  <si>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</si>
  <si>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</si>
  <si>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</si>
  <si>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</si>
  <si>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</si>
  <si>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</si>
  <si>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</si>
  <si>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</si>
  <si>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</si>
  <si>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</si>
  <si>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</si>
  <si>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</si>
  <si>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</si>
  <si>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</si>
  <si>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</si>
  <si>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</si>
  <si>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</si>
  <si>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</si>
  <si>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</si>
  <si>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</si>
  <si>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</si>
  <si>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</si>
  <si>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</si>
  <si>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</si>
  <si>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</si>
  <si>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</si>
  <si>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</si>
  <si>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</si>
  <si>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</si>
  <si>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</si>
  <si>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</si>
  <si>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</si>
  <si>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</si>
  <si>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</si>
  <si>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</si>
  <si>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</si>
  <si>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</si>
  <si>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</si>
  <si>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</si>
  <si>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</si>
  <si>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</si>
  <si>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</si>
  <si>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</si>
  <si>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</si>
  <si>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</si>
  <si>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</si>
  <si>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</si>
  <si>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</si>
  <si>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</si>
  <si>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</si>
  <si>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</si>
  <si>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</si>
  <si>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</si>
  <si>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</si>
  <si>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</si>
  <si>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</si>
  <si>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</si>
  <si>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</si>
  <si>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</si>
  <si>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</si>
  <si>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</si>
  <si>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</si>
  <si>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</si>
  <si>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</si>
  <si>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</si>
  <si>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</si>
  <si>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</si>
  <si>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</si>
  <si>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</si>
  <si>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</si>
  <si>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</si>
  <si>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</si>
  <si>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</si>
  <si>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</si>
  <si>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</si>
  <si>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</si>
  <si>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</si>
  <si>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</si>
  <si>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</si>
  <si>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</si>
  <si>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</si>
  <si>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</si>
  <si>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</si>
  <si>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</si>
  <si>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</si>
  <si>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</si>
  <si>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</si>
  <si>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</si>
  <si>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</si>
  <si>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</si>
  <si>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</si>
  <si>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</si>
  <si>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</si>
  <si>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</si>
  <si>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</si>
  <si>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</si>
  <si>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</si>
  <si>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</si>
  <si>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</si>
  <si>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</si>
  <si>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</si>
  <si>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</si>
  <si>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</si>
  <si>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</si>
  <si>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</si>
  <si>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</si>
  <si>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</si>
  <si>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</si>
  <si>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</si>
  <si>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</si>
  <si>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</si>
  <si>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</si>
  <si>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</si>
  <si>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</si>
  <si>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</si>
  <si>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</si>
  <si>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</si>
  <si>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</si>
  <si>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</si>
  <si>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</si>
  <si>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</si>
  <si>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</si>
  <si>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</si>
  <si>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</si>
  <si>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</si>
  <si>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</si>
  <si>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</si>
  <si>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</si>
  <si>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</si>
  <si>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</si>
  <si>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</si>
  <si>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</si>
  <si>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</si>
  <si>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</si>
  <si>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</si>
  <si>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</si>
  <si>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</si>
  <si>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</si>
  <si>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</si>
  <si>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</si>
  <si>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</si>
  <si>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</si>
  <si>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</si>
  <si>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</si>
  <si>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</si>
  <si>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</si>
  <si>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</si>
  <si>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</si>
  <si>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</si>
  <si>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</si>
  <si>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</si>
  <si>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</si>
  <si>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</si>
  <si>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</si>
  <si>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</si>
  <si>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</si>
  <si>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</si>
  <si>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</si>
  <si>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</si>
  <si>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</si>
  <si>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</si>
  <si>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</si>
  <si>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</si>
  <si>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</si>
  <si>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</si>
  <si>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</si>
  <si>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</si>
  <si>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</si>
  <si>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</si>
  <si>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</si>
  <si>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</si>
  <si>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</si>
  <si>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</si>
  <si>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</si>
  <si>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</si>
  <si>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</si>
  <si>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</si>
  <si>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</si>
  <si>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</si>
  <si>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</si>
  <si>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</si>
  <si>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</si>
  <si>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</si>
  <si>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</si>
  <si>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</si>
  <si>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</si>
  <si>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</si>
  <si>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</si>
  <si>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</si>
  <si>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</si>
  <si>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</si>
  <si>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</si>
  <si>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</si>
  <si>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</si>
  <si>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</si>
  <si>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</si>
  <si>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</si>
  <si>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</si>
  <si>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</si>
  <si>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</si>
  <si>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</si>
  <si>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</si>
  <si>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</si>
  <si>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</si>
  <si>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</si>
  <si>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</si>
  <si>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</si>
  <si>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</si>
  <si>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</si>
  <si>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</si>
  <si>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</si>
  <si>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</si>
  <si>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</si>
  <si>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</si>
  <si>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</si>
  <si>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</si>
  <si>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</si>
  <si>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</si>
  <si>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</si>
  <si>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</si>
  <si>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</si>
  <si>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</si>
  <si>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</si>
  <si>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</si>
  <si>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</si>
  <si>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</si>
  <si>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</si>
  <si>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</si>
  <si>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</si>
  <si>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</si>
  <si>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</si>
  <si>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</si>
  <si>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</si>
  <si>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</si>
  <si>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</si>
  <si>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</si>
  <si>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</si>
  <si>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</si>
  <si>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</si>
  <si>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</si>
  <si>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</si>
  <si>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</si>
  <si>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</si>
  <si>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</si>
  <si>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</si>
  <si>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</si>
  <si>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</si>
  <si>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</si>
  <si>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</si>
  <si>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</si>
  <si>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</si>
  <si>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</si>
  <si>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</si>
  <si>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</si>
  <si>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</si>
  <si>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</si>
  <si>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</si>
  <si>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</si>
  <si>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</si>
  <si>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</si>
  <si>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</si>
  <si>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</si>
  <si>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</si>
  <si>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</si>
  <si>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</si>
  <si>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</si>
  <si>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</si>
  <si>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</si>
  <si>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</si>
  <si>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</si>
  <si>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</si>
  <si>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</si>
  <si>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</si>
  <si>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</si>
  <si>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</si>
  <si>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</si>
  <si>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</si>
  <si>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</si>
  <si>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</si>
  <si>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</si>
  <si>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</si>
  <si>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</si>
  <si>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</si>
  <si>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</si>
  <si>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</si>
  <si>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</si>
  <si>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</si>
  <si>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</si>
  <si>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</si>
  <si>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</si>
  <si>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</si>
  <si>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</si>
  <si>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</si>
  <si>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</si>
  <si>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</si>
  <si>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</si>
  <si>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</si>
  <si>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</si>
  <si>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</si>
  <si>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</si>
  <si>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</si>
  <si>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</si>
  <si>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</si>
  <si>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</si>
  <si>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</si>
  <si>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</si>
  <si>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</si>
  <si>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</si>
  <si>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</si>
  <si>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</si>
  <si>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</si>
  <si>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</si>
  <si>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</si>
  <si>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</si>
  <si>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</si>
  <si>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</si>
  <si>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</si>
  <si>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</si>
  <si>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</si>
  <si>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</si>
  <si>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</si>
  <si>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</si>
  <si>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</si>
  <si>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</si>
  <si>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</si>
  <si>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</si>
  <si>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</si>
  <si>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</si>
  <si>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</si>
  <si>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</si>
  <si>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</si>
  <si>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</si>
  <si>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</si>
  <si>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</si>
  <si>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</si>
  <si>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</si>
  <si>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</si>
  <si>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</si>
  <si>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</si>
  <si>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</si>
  <si>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</si>
  <si>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</si>
  <si>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</si>
  <si>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</si>
  <si>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</si>
  <si>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</si>
  <si>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</si>
  <si>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</si>
  <si>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</si>
  <si>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</si>
  <si>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</si>
  <si>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</si>
  <si>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</si>
  <si>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</si>
  <si>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</si>
  <si>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</si>
  <si>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</si>
  <si>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</si>
  <si>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</si>
  <si>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</si>
  <si>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</si>
  <si>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</si>
  <si>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</si>
  <si>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</si>
  <si>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</si>
  <si>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</si>
  <si>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</si>
  <si>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</si>
  <si>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</si>
  <si>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</si>
  <si>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</si>
  <si>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</si>
  <si>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</si>
  <si>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</si>
  <si>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</si>
  <si>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</si>
  <si>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</si>
  <si>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</si>
  <si>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</si>
  <si>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</si>
  <si>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</si>
  <si>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</si>
  <si>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</si>
  <si>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</si>
  <si>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</si>
  <si>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</si>
  <si>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</si>
  <si>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</si>
  <si>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</si>
  <si>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</si>
  <si>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</si>
  <si>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</si>
  <si>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</si>
  <si>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</si>
  <si>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</si>
  <si>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</si>
  <si>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</si>
  <si>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</si>
  <si>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</si>
  <si>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</si>
  <si>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</si>
  <si>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</si>
  <si>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</si>
  <si>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</si>
  <si>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</si>
  <si>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</si>
  <si>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</si>
  <si>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</si>
  <si>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</si>
  <si>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</si>
  <si>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</si>
  <si>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</si>
  <si>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</si>
  <si>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</si>
  <si>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</si>
  <si>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</si>
  <si>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</si>
  <si>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</si>
  <si>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</si>
  <si>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</si>
  <si>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</si>
  <si>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</si>
  <si>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</si>
  <si>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</si>
  <si>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</si>
  <si>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</si>
  <si>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</si>
  <si>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</si>
  <si>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</si>
  <si>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</si>
  <si>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</si>
  <si>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</si>
  <si>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</si>
  <si>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</si>
  <si>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</si>
  <si>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</si>
  <si>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</si>
  <si>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</si>
  <si>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</si>
  <si>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</si>
  <si>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</si>
  <si>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</si>
  <si>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</si>
  <si>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</si>
  <si>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</si>
  <si>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</si>
  <si>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</si>
  <si>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</si>
  <si>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</si>
  <si>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</si>
  <si>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</si>
  <si>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</si>
  <si>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</si>
  <si>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</si>
  <si>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</si>
  <si>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</si>
  <si>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</si>
  <si>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</si>
  <si>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</si>
  <si>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</si>
  <si>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</si>
  <si>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</si>
  <si>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</si>
  <si>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</si>
  <si>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</si>
  <si>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</si>
  <si>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</si>
  <si>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</si>
  <si>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</si>
  <si>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</si>
  <si>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</si>
  <si>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</si>
  <si>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</si>
  <si>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</si>
  <si>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</si>
  <si>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</si>
  <si>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</si>
  <si>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</si>
  <si>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</si>
  <si>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</si>
  <si>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</si>
  <si>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</si>
  <si>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</si>
  <si>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</si>
  <si>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</si>
  <si>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</si>
  <si>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</si>
  <si>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</si>
  <si>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</si>
  <si>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</si>
  <si>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</si>
  <si>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</si>
  <si>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</si>
  <si>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</si>
  <si>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</si>
  <si>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</si>
  <si>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</si>
  <si>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</si>
  <si>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</si>
  <si>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</si>
  <si>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</si>
  <si>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</si>
  <si>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</si>
  <si>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</si>
  <si>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</si>
  <si>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</si>
  <si>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</si>
  <si>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</si>
  <si>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</si>
  <si>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</si>
  <si>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</si>
  <si>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</si>
  <si>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</si>
  <si>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</si>
  <si>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</si>
  <si>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</si>
  <si>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</si>
  <si>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</si>
  <si>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</si>
  <si>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</si>
  <si>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</si>
  <si>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</si>
  <si>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</si>
  <si>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</si>
  <si>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</si>
  <si>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</si>
  <si>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</si>
  <si>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</si>
  <si>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</si>
  <si>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</si>
  <si>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</si>
  <si>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</si>
  <si>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</si>
  <si>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</si>
  <si>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</si>
  <si>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</si>
  <si>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</si>
  <si>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</si>
  <si>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</si>
  <si>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</si>
  <si>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</si>
  <si>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</si>
  <si>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</si>
  <si>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</si>
  <si>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</si>
  <si>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</si>
  <si>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</si>
  <si>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</si>
  <si>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</si>
  <si>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</si>
  <si>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</si>
  <si>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</si>
  <si>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</si>
  <si>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</si>
  <si>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</si>
  <si>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</si>
  <si>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</si>
  <si>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</si>
  <si>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</si>
  <si>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</si>
  <si>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</si>
  <si>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</si>
  <si>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</si>
  <si>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</si>
  <si>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</si>
  <si>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</si>
  <si>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</si>
  <si>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</si>
  <si>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</si>
  <si>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</si>
  <si>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</si>
  <si>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</si>
  <si>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</si>
  <si>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</si>
  <si>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</si>
  <si>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</si>
  <si>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</si>
  <si>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</si>
  <si>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</si>
  <si>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</si>
  <si>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</si>
  <si>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</si>
  <si>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</si>
  <si>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</si>
  <si>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</si>
  <si>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</si>
  <si>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</si>
  <si>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</si>
  <si>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</si>
  <si>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</si>
  <si>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</si>
  <si>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</si>
  <si>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</si>
  <si>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</si>
  <si>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</si>
  <si>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</si>
  <si>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</si>
  <si>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</si>
  <si>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</si>
  <si>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</si>
  <si>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</si>
  <si>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</si>
  <si>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</si>
  <si>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</si>
  <si>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</si>
  <si>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</si>
  <si>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</si>
  <si>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</si>
  <si>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</si>
  <si>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</si>
  <si>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</si>
  <si>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</si>
  <si>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</si>
  <si>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</si>
  <si>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</si>
  <si>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</si>
  <si>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</si>
  <si>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</si>
  <si>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</si>
  <si>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</si>
  <si>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</si>
  <si>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</si>
  <si>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</si>
  <si>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</si>
  <si>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</si>
  <si>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</si>
  <si>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</si>
  <si>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</si>
  <si>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</si>
  <si>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</si>
  <si>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</si>
  <si>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</si>
  <si>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</si>
  <si>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</si>
  <si>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</si>
  <si>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</si>
  <si>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</si>
  <si>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</si>
  <si>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</si>
  <si>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</si>
  <si>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</si>
  <si>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</si>
  <si>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</si>
  <si>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</si>
  <si>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</si>
  <si>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</si>
  <si>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</si>
  <si>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</si>
  <si>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</si>
  <si>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</si>
  <si>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</si>
  <si>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</si>
  <si>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</si>
  <si>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</si>
  <si>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</si>
  <si>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</si>
  <si>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</si>
  <si>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</si>
  <si>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</si>
  <si>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</si>
  <si>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</si>
  <si>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</si>
  <si>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</si>
  <si>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</si>
  <si>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</si>
  <si>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</si>
  <si>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</si>
  <si>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</si>
  <si>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</si>
  <si>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</si>
  <si>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</si>
  <si>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</si>
  <si>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</si>
  <si>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</si>
  <si>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</si>
  <si>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</si>
  <si>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</si>
  <si>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</si>
  <si>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</si>
  <si>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</si>
  <si>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</si>
  <si>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</si>
  <si>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</si>
  <si>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</si>
  <si>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</si>
  <si>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</si>
  <si>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</si>
  <si>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</si>
  <si>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</si>
  <si>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</si>
  <si>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</si>
  <si>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</si>
  <si>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</si>
  <si>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</si>
  <si>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</si>
  <si>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</si>
  <si>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</si>
  <si>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</si>
  <si>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</si>
  <si>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</si>
  <si>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</si>
  <si>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</si>
  <si>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</si>
  <si>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</si>
  <si>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</si>
  <si>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</si>
  <si>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</si>
  <si>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</si>
  <si>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</si>
  <si>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</si>
  <si>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</si>
  <si>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</si>
  <si>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</si>
  <si>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</si>
  <si>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</si>
  <si>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</si>
  <si>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</si>
  <si>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</si>
  <si>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</si>
  <si>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</si>
  <si>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</si>
  <si>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</si>
  <si>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</si>
  <si>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</si>
  <si>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</si>
  <si>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</si>
  <si>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</si>
  <si>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</si>
  <si>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</si>
  <si>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</si>
  <si>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</si>
  <si>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</si>
  <si>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</si>
  <si>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</si>
  <si>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</si>
  <si>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</si>
  <si>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</si>
  <si>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</si>
  <si>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</si>
  <si>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</si>
  <si>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</si>
  <si>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</si>
  <si>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</si>
  <si>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</si>
  <si>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</si>
  <si>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</si>
  <si>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</si>
  <si>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</si>
  <si>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</si>
  <si>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</si>
  <si>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</si>
  <si>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</si>
  <si>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</si>
  <si>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</si>
  <si>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</si>
  <si>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</si>
  <si>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</si>
  <si>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</si>
  <si>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</si>
  <si>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</si>
  <si>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</si>
  <si>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</si>
  <si>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</si>
  <si>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</si>
  <si>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</si>
  <si>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</si>
  <si>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</si>
  <si>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</si>
  <si>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</si>
  <si>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</si>
  <si>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</si>
  <si>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</si>
  <si>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</si>
  <si>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</si>
  <si>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</si>
  <si>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</si>
  <si>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</si>
  <si>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</si>
  <si>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</si>
  <si>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</si>
  <si>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</si>
  <si>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</si>
  <si>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</si>
  <si>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</si>
  <si>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</si>
  <si>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</si>
  <si>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</si>
  <si>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</si>
  <si>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</si>
  <si>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</si>
  <si>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</si>
  <si>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</si>
  <si>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</si>
  <si>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</si>
  <si>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</si>
  <si>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</si>
  <si>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</si>
  <si>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</si>
  <si>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</si>
  <si>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</si>
  <si>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</si>
  <si>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</si>
  <si>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</si>
  <si>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</si>
  <si>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</si>
  <si>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</si>
  <si>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</si>
  <si>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</si>
  <si>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</si>
  <si>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</si>
  <si>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</si>
  <si>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</si>
  <si>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</si>
  <si>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</si>
  <si>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</si>
  <si>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</si>
  <si>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</si>
  <si>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</si>
  <si>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</si>
  <si>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</si>
  <si>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</si>
  <si>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</si>
  <si>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</si>
  <si>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</si>
  <si>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</si>
  <si>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</si>
  <si>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</si>
  <si>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</si>
  <si>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</si>
  <si>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</si>
  <si>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</si>
  <si>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</si>
  <si>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</si>
  <si>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</si>
  <si>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</si>
  <si>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</si>
  <si>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</si>
  <si>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</si>
  <si>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</si>
  <si>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</si>
  <si>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</si>
  <si>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</si>
  <si>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</si>
  <si>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</si>
  <si>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</si>
  <si>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</si>
  <si>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</si>
  <si>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</si>
  <si>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</si>
  <si>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</si>
  <si>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</si>
  <si>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</si>
  <si>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</si>
  <si>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</si>
  <si>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</si>
  <si>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</si>
  <si>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</si>
  <si>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</si>
  <si>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</si>
  <si>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</si>
  <si>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</si>
  <si>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</si>
  <si>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</si>
  <si>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</si>
  <si>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</si>
  <si>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</si>
  <si>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</si>
  <si>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</si>
  <si>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</si>
  <si>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</si>
  <si>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</si>
  <si>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</si>
  <si>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</si>
  <si>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</si>
  <si>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</si>
  <si>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</si>
  <si>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</si>
  <si>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</si>
  <si>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</si>
  <si>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</si>
  <si>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</si>
  <si>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</si>
  <si>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</si>
  <si>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</si>
  <si>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</si>
  <si>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</si>
  <si>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</si>
  <si>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</si>
  <si>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</si>
  <si>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</si>
  <si>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</si>
  <si>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</si>
  <si>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</si>
  <si>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</si>
  <si>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</si>
  <si>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</si>
  <si>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</si>
  <si>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</si>
  <si>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</si>
  <si>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</si>
  <si>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</si>
  <si>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</si>
  <si>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</si>
  <si>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</si>
  <si>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</si>
  <si>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</si>
  <si>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</si>
  <si>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</si>
  <si>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</si>
  <si>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</si>
  <si>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</si>
  <si>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</si>
  <si>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</si>
  <si>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</si>
  <si>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</si>
  <si>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</si>
  <si>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</si>
  <si>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</si>
  <si>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</si>
  <si>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</si>
  <si>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</si>
  <si>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</si>
  <si>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</si>
  <si>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</si>
  <si>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</si>
  <si>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</si>
  <si>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</si>
  <si>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</si>
  <si>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</si>
  <si>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</si>
  <si>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</si>
  <si>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</si>
  <si>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</si>
  <si>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</si>
  <si>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</si>
  <si>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</si>
  <si>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</si>
  <si>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</si>
  <si>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</si>
  <si>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</si>
  <si>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</si>
  <si>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</si>
  <si>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</si>
  <si>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</si>
  <si>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</si>
  <si>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</si>
  <si>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</si>
  <si>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</si>
  <si>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</si>
  <si>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</si>
  <si>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</si>
  <si>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</si>
  <si>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</si>
  <si>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</si>
  <si>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</si>
  <si>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</si>
  <si>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</si>
  <si>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</si>
  <si>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</si>
  <si>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</si>
  <si>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</si>
  <si>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</si>
  <si>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</si>
  <si>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</si>
  <si>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</si>
  <si>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</si>
  <si>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</si>
  <si>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</si>
  <si>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</si>
  <si>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</si>
  <si>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</si>
  <si>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</si>
  <si>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</si>
  <si>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</si>
  <si>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</si>
  <si>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</si>
  <si>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</si>
  <si>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</si>
  <si>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</si>
  <si>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</si>
  <si>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</si>
  <si>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</si>
  <si>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</si>
  <si>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</si>
  <si>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</si>
  <si>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</si>
  <si>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</si>
  <si>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</si>
  <si>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</si>
  <si>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</si>
  <si>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</si>
  <si>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</si>
  <si>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</si>
  <si>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</si>
  <si>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</si>
  <si>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</si>
  <si>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</si>
  <si>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</si>
  <si>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</si>
  <si>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</si>
  <si>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</si>
  <si>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</si>
  <si>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</si>
  <si>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</si>
  <si>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</si>
  <si>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</si>
  <si>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</si>
  <si>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</si>
  <si>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</si>
  <si>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</si>
  <si>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</si>
  <si>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</si>
  <si>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</si>
  <si>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</si>
  <si>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</si>
  <si>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</si>
  <si>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</si>
  <si>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</si>
  <si>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</si>
  <si>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</si>
  <si>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</si>
  <si>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</si>
  <si>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</si>
  <si>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</si>
  <si>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</si>
  <si>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</si>
  <si>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</si>
  <si>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</si>
  <si>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</si>
  <si>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</si>
  <si>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</si>
  <si>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</si>
  <si>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</si>
  <si>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</si>
  <si>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</si>
  <si>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</si>
  <si>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</si>
  <si>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</si>
  <si>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</si>
  <si>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</si>
  <si>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</si>
  <si>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</si>
  <si>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</si>
  <si>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</si>
  <si>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</si>
  <si>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</si>
  <si>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</si>
  <si>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</si>
  <si>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</si>
  <si>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</si>
  <si>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</si>
  <si>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</si>
  <si>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</si>
  <si>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</si>
  <si>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</si>
  <si>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</si>
  <si>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</si>
  <si>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</si>
  <si>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</si>
  <si>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</si>
  <si>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</si>
  <si>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</si>
  <si>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</si>
  <si>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</si>
  <si>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</si>
  <si>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</si>
  <si>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</si>
  <si>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</si>
  <si>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</si>
  <si>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</si>
  <si>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</si>
  <si>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</si>
  <si>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</si>
  <si>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</si>
  <si>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</si>
  <si>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</si>
  <si>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</si>
  <si>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</si>
  <si>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</si>
  <si>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</si>
  <si>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</si>
  <si>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</si>
  <si>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</si>
  <si>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</si>
  <si>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</si>
  <si>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</si>
  <si>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</si>
  <si>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</si>
  <si>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</si>
  <si>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</si>
  <si>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</si>
  <si>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</si>
  <si>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</si>
  <si>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</si>
  <si>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</si>
  <si>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</si>
  <si>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</si>
  <si>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</si>
  <si>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</si>
  <si>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</si>
  <si>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</si>
  <si>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</si>
  <si>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</si>
  <si>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</si>
  <si>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</si>
  <si>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</si>
  <si>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</si>
  <si>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</si>
  <si>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</si>
  <si>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</si>
  <si>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</si>
  <si>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</si>
  <si>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</si>
  <si>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</si>
  <si>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</si>
  <si>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</si>
  <si>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</si>
  <si>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</si>
  <si>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</si>
  <si>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</si>
  <si>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</si>
  <si>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</si>
  <si>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</si>
  <si>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</si>
  <si>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</si>
  <si>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</si>
  <si>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</si>
  <si>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</si>
  <si>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</si>
  <si>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</si>
  <si>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</si>
  <si>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</si>
  <si>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</si>
  <si>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</si>
  <si>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</si>
  <si>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</si>
  <si>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</si>
  <si>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</si>
  <si>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</si>
  <si>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</si>
  <si>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</si>
  <si>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</si>
  <si>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</si>
  <si>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</si>
  <si>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</si>
  <si>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</si>
  <si>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</si>
  <si>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</si>
  <si>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</si>
  <si>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</si>
  <si>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</si>
  <si>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</si>
  <si>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</si>
  <si>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</si>
  <si>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</si>
  <si>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</si>
  <si>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</si>
  <si>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</si>
  <si>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</si>
  <si>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</si>
  <si>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</si>
  <si>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</si>
  <si>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</si>
  <si>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</si>
  <si>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</si>
  <si>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</si>
  <si>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</si>
  <si>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</si>
  <si>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</si>
  <si>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</si>
  <si>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</si>
  <si>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</si>
  <si>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</si>
  <si>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</si>
  <si>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</si>
  <si>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</si>
  <si>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</si>
  <si>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</si>
  <si>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</si>
  <si>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</si>
  <si>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</si>
  <si>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</si>
  <si>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</si>
  <si>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</si>
  <si>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</si>
  <si>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</si>
  <si>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</si>
  <si>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</si>
  <si>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</si>
  <si>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</si>
  <si>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</si>
  <si>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</si>
  <si>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</si>
  <si>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</si>
  <si>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</si>
  <si>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</si>
  <si>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</si>
  <si>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</si>
  <si>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</si>
  <si>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</si>
  <si>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</si>
  <si>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</si>
  <si>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</si>
  <si>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</si>
  <si>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</si>
  <si>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</si>
  <si>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</si>
  <si>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</si>
  <si>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</si>
  <si>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</si>
  <si>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</si>
  <si>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</si>
  <si>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</si>
  <si>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</si>
  <si>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</si>
  <si>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</si>
  <si>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</si>
  <si>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</si>
  <si>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</si>
  <si>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</si>
  <si>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</si>
  <si>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</si>
  <si>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</si>
  <si>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</si>
  <si>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</si>
  <si>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</si>
  <si>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</si>
  <si>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</si>
  <si>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</si>
  <si>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</si>
  <si>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</si>
  <si>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</si>
  <si>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</si>
  <si>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</si>
  <si>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</si>
  <si>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</si>
  <si>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</si>
  <si>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</si>
  <si>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</si>
  <si>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</si>
  <si>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</si>
  <si>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</si>
  <si>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</si>
  <si>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</si>
  <si>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</si>
  <si>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</si>
  <si>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</si>
  <si>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</si>
  <si>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</si>
  <si>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</si>
  <si>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</si>
  <si>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</si>
  <si>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</si>
  <si>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</si>
  <si>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</si>
  <si>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</si>
  <si>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</si>
  <si>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</si>
  <si>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</si>
  <si>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</si>
  <si>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</si>
  <si>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</si>
  <si>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</si>
  <si>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</si>
  <si>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</si>
  <si>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</si>
  <si>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</si>
  <si>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</si>
  <si>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</si>
  <si>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</si>
  <si>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</si>
  <si>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</si>
  <si>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</si>
  <si>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</si>
  <si>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</si>
  <si>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</si>
  <si>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</si>
  <si>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</si>
  <si>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</si>
  <si>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</si>
  <si>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</si>
  <si>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</si>
  <si>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</si>
  <si>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</si>
  <si>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</si>
  <si>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</si>
  <si>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</si>
  <si>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</si>
  <si>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</si>
  <si>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</si>
  <si>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</si>
  <si>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</si>
  <si>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</si>
  <si>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</si>
  <si>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</si>
  <si>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</si>
  <si>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</si>
  <si>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</si>
  <si>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</si>
  <si>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</si>
  <si>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</si>
  <si>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</si>
  <si>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</si>
  <si>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</si>
  <si>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</si>
  <si>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</si>
  <si>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</si>
  <si>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</si>
  <si>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</si>
  <si>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</si>
  <si>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</si>
  <si>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</si>
  <si>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</si>
  <si>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</si>
  <si>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</si>
  <si>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</si>
  <si>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</si>
  <si>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</si>
  <si>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</si>
  <si>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</si>
  <si>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</si>
  <si>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</si>
  <si>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</si>
  <si>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</si>
  <si>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</si>
  <si>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</si>
  <si>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</si>
  <si>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</si>
  <si>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</si>
  <si>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</si>
  <si>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</si>
  <si>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</si>
  <si>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</si>
  <si>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</si>
  <si>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</si>
  <si>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</si>
  <si>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</si>
  <si>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</si>
  <si>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</si>
  <si>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</si>
  <si>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</si>
  <si>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</si>
  <si>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</si>
  <si>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</si>
  <si>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</si>
  <si>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</si>
  <si>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</si>
  <si>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</si>
  <si>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</si>
  <si>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</si>
  <si>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</si>
  <si>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</si>
  <si>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</si>
  <si>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</si>
  <si>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</si>
  <si>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</si>
  <si>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</si>
  <si>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</si>
  <si>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</si>
  <si>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</si>
  <si>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</si>
  <si>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</si>
  <si>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</si>
  <si>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</si>
  <si>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</si>
  <si>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</si>
  <si>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</si>
  <si>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</si>
  <si>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</si>
  <si>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</si>
  <si>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</si>
  <si>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</si>
  <si>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</si>
  <si>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</si>
  <si>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</si>
  <si>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</si>
  <si>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</si>
  <si>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</si>
  <si>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</si>
  <si>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</si>
  <si>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</si>
  <si>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</si>
  <si>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</si>
  <si>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</si>
  <si>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</si>
  <si>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</si>
  <si>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</si>
  <si>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</si>
  <si>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</si>
  <si>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</si>
  <si>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</si>
  <si>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</si>
  <si>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</si>
  <si>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</si>
  <si>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</si>
  <si>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</si>
  <si>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</si>
  <si>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</si>
  <si>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</si>
  <si>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</si>
  <si>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</si>
  <si>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</si>
  <si>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</si>
  <si>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</si>
  <si>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</si>
  <si>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</si>
  <si>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</si>
  <si>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</si>
  <si>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</si>
  <si>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</si>
  <si>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</si>
  <si>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</si>
  <si>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</si>
  <si>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</si>
  <si>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</si>
  <si>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</si>
  <si>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</si>
  <si>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</si>
  <si>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</si>
  <si>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</si>
  <si>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</si>
  <si>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</si>
  <si>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</si>
  <si>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</si>
  <si>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</si>
  <si>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</si>
  <si>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</si>
  <si>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</si>
  <si>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</si>
  <si>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</si>
  <si>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</si>
  <si>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</si>
  <si>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</si>
  <si>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</si>
  <si>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</si>
  <si>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</si>
  <si>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</si>
  <si>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</si>
  <si>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</si>
  <si>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</si>
  <si>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</si>
  <si>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</si>
  <si>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</si>
  <si>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</si>
  <si>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</si>
  <si>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</si>
  <si>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</si>
  <si>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</si>
  <si>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</si>
  <si>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</si>
  <si>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</si>
  <si>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</si>
  <si>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</si>
  <si>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</si>
  <si>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</si>
  <si>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</si>
  <si>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</si>
  <si>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</si>
  <si>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</si>
  <si>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</si>
  <si>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</si>
  <si>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</si>
  <si>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</si>
  <si>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</si>
  <si>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</si>
  <si>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</si>
  <si>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</si>
  <si>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</si>
  <si>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</si>
  <si>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</si>
  <si>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</si>
  <si>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</si>
  <si>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</si>
  <si>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</si>
  <si>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</si>
  <si>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</si>
  <si>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</si>
  <si>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</si>
  <si>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</si>
  <si>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</si>
  <si>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</si>
  <si>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</si>
  <si>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</si>
  <si>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</si>
  <si>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</si>
  <si>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</si>
  <si>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</si>
  <si>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</si>
  <si>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</si>
  <si>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</si>
  <si>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</si>
  <si>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</si>
  <si>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</si>
  <si>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</si>
  <si>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</si>
  <si>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</si>
  <si>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</si>
  <si>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</si>
  <si>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</si>
  <si>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</si>
  <si>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</si>
  <si>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</si>
  <si>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</si>
  <si>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</si>
  <si>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</si>
  <si>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</si>
  <si>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</si>
  <si>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</si>
  <si>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</si>
  <si>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</si>
  <si>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</si>
  <si>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</si>
  <si>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</si>
  <si>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</si>
  <si>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</si>
  <si>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</si>
  <si>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</si>
  <si>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</si>
  <si>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</si>
  <si>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</si>
  <si>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</si>
  <si>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</si>
  <si>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</si>
  <si>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</si>
  <si>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</si>
  <si>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</si>
  <si>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</si>
  <si>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</si>
  <si>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</si>
  <si>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</si>
  <si>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</si>
  <si>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</si>
  <si>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</si>
  <si>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</si>
  <si>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</si>
  <si>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</si>
  <si>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</si>
  <si>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</si>
  <si>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</si>
  <si>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</si>
  <si>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</si>
  <si>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</si>
  <si>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</si>
  <si>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</si>
  <si>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</si>
  <si>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</si>
  <si>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</si>
  <si>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</si>
  <si>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</si>
  <si>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</si>
  <si>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</si>
  <si>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</si>
  <si>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</si>
  <si>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</si>
  <si>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</si>
  <si>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</si>
  <si>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</si>
  <si>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</si>
  <si>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</si>
  <si>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</si>
  <si>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</si>
  <si>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</si>
  <si>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</si>
  <si>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</si>
  <si>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</si>
  <si>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</si>
  <si>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</si>
  <si>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</si>
  <si>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</si>
  <si>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</si>
  <si>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</si>
  <si>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</si>
  <si>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</si>
  <si>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</si>
  <si>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</si>
  <si>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</si>
  <si>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</si>
  <si>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</si>
  <si>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</si>
  <si>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</si>
  <si>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</si>
  <si>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</si>
  <si>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</si>
  <si>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</si>
  <si>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</si>
  <si>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</si>
  <si>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</si>
  <si>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</si>
  <si>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</si>
  <si>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</si>
  <si>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</si>
  <si>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</si>
  <si>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</si>
  <si>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</si>
  <si>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</si>
  <si>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</si>
  <si>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</si>
  <si>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</si>
  <si>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</si>
  <si>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</si>
  <si>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</si>
  <si>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</si>
  <si>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</si>
  <si>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</si>
  <si>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</si>
  <si>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</si>
  <si>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</si>
  <si>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</si>
  <si>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</si>
  <si>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</si>
  <si>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</si>
  <si>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</si>
  <si>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</si>
  <si>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</si>
  <si>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</si>
  <si>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</si>
  <si>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</si>
  <si>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</si>
  <si>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</si>
  <si>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</si>
  <si>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</si>
  <si>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</si>
  <si>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</si>
  <si>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</si>
  <si>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</si>
  <si>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</si>
  <si>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</si>
  <si>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</si>
  <si>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</si>
  <si>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</si>
  <si>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</si>
  <si>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</si>
  <si>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</si>
  <si>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</si>
  <si>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</si>
  <si>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</si>
  <si>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</si>
  <si>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</si>
  <si>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</si>
  <si>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</si>
  <si>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</si>
  <si>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</si>
  <si>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</si>
  <si>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</si>
  <si>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</si>
  <si>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</si>
  <si>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</si>
  <si>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</si>
  <si>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</si>
  <si>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</si>
  <si>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</si>
  <si>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</si>
  <si>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</si>
  <si>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</si>
  <si>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</si>
  <si>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</si>
  <si>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</si>
  <si>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</si>
  <si>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</si>
  <si>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</si>
  <si>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</si>
  <si>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</si>
  <si>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</si>
  <si>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</si>
  <si>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</si>
  <si>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</si>
  <si>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</si>
  <si>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</si>
  <si>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</si>
  <si>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</si>
  <si>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</si>
  <si>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</si>
  <si>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</si>
  <si>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</si>
  <si>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</si>
  <si>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</si>
  <si>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</si>
  <si>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</si>
  <si>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</si>
  <si>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</si>
  <si>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</si>
  <si>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</si>
  <si>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</si>
  <si>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</si>
  <si>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</si>
  <si>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</si>
  <si>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</si>
  <si>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</si>
  <si>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</si>
  <si>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</si>
  <si>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</si>
  <si>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</si>
  <si>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</si>
  <si>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</si>
  <si>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</si>
  <si>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</si>
  <si>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</si>
  <si>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</si>
  <si>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</si>
  <si>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</si>
  <si>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</si>
  <si>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</si>
  <si>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</si>
  <si>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</si>
  <si>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</si>
  <si>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</si>
  <si>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</si>
  <si>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</si>
  <si>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</si>
  <si>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</si>
  <si>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</si>
  <si>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</si>
  <si>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</si>
  <si>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</si>
  <si>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</si>
  <si>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</si>
  <si>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</si>
  <si>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</si>
  <si>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</si>
  <si>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</si>
  <si>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</si>
  <si>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</si>
  <si>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</si>
  <si>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</si>
  <si>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</si>
  <si>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</si>
  <si>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</si>
  <si>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</si>
  <si>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</si>
  <si>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</si>
  <si>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</si>
  <si>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</si>
  <si>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</si>
  <si>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</si>
  <si>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</si>
  <si>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</si>
  <si>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</si>
  <si>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</si>
  <si>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</si>
  <si>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</si>
  <si>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</si>
  <si>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</si>
  <si>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</si>
  <si>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</si>
  <si>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</si>
  <si>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</si>
  <si>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</si>
  <si>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</si>
  <si>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</si>
  <si>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</si>
  <si>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</si>
  <si>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</si>
  <si>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</si>
  <si>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</si>
  <si>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</si>
  <si>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</si>
  <si>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</si>
  <si>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</si>
  <si>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</si>
  <si>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</si>
  <si>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</si>
  <si>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</si>
  <si>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</si>
  <si>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</si>
  <si>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</si>
  <si>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</si>
  <si>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</si>
  <si>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</si>
  <si>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</si>
  <si>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</si>
  <si>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</si>
  <si>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</si>
  <si>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</si>
  <si>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</si>
  <si>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</si>
  <si>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</si>
  <si>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</si>
  <si>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</si>
  <si>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</si>
  <si>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</si>
  <si>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</si>
  <si>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</si>
  <si>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</si>
  <si>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</si>
  <si>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</si>
  <si>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</si>
  <si>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</si>
  <si>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</si>
  <si>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</si>
  <si>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</si>
  <si>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</si>
  <si>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</si>
  <si>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</si>
  <si>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</si>
  <si>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</si>
  <si>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</si>
  <si>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</si>
  <si>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</si>
  <si>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</si>
  <si>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</si>
  <si>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</si>
  <si>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</si>
  <si>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</si>
  <si>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</si>
  <si>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</si>
  <si>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</si>
  <si>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</si>
  <si>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</si>
  <si>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</si>
  <si>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</si>
  <si>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</si>
  <si>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</si>
  <si>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</si>
  <si>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</si>
  <si>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</si>
  <si>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</si>
  <si>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</si>
  <si>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</si>
  <si>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</si>
  <si>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</si>
  <si>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</si>
  <si>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</si>
  <si>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</si>
  <si>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</si>
  <si>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</si>
  <si>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</si>
  <si>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</si>
  <si>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</si>
  <si>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</si>
  <si>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</si>
  <si>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</si>
  <si>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</si>
  <si>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</si>
  <si>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</si>
  <si>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</si>
  <si>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</si>
  <si>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</si>
  <si>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</si>
  <si>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</si>
  <si>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</si>
  <si>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</si>
  <si>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</si>
  <si>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</si>
  <si>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</si>
  <si>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</si>
  <si>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</si>
  <si>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</si>
  <si>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</si>
  <si>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</si>
  <si>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</si>
  <si>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</si>
  <si>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</si>
  <si>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</si>
  <si>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</si>
  <si>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</si>
  <si>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</si>
  <si>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</si>
  <si>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</si>
  <si>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</si>
  <si>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</si>
  <si>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</si>
  <si>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</si>
  <si>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</si>
  <si>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</si>
  <si>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</si>
  <si>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</si>
  <si>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</si>
  <si>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</si>
  <si>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</si>
  <si>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</si>
  <si>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</si>
  <si>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</si>
  <si>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</si>
  <si>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</si>
  <si>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</si>
  <si>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</si>
  <si>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</si>
  <si>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</si>
  <si>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</si>
  <si>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</si>
  <si>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</si>
  <si>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</si>
  <si>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</si>
  <si>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</si>
  <si>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</si>
  <si>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</si>
  <si>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</si>
  <si>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</si>
  <si>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</si>
  <si>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</si>
  <si>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</si>
  <si>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</si>
  <si>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</si>
  <si>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</si>
  <si>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</si>
  <si>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</si>
  <si>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</si>
  <si>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</si>
  <si>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</si>
  <si>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</si>
  <si>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</si>
  <si>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</si>
  <si>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</si>
  <si>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</si>
  <si>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</si>
  <si>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</si>
  <si>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</si>
  <si>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</si>
  <si>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</si>
  <si>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</si>
  <si>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</si>
  <si>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</si>
  <si>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</si>
  <si>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</si>
  <si>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</si>
  <si>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</si>
  <si>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</si>
  <si>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</si>
  <si>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</si>
  <si>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</si>
  <si>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</si>
  <si>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</si>
  <si>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</si>
  <si>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</si>
  <si>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</si>
  <si>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</si>
  <si>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</si>
  <si>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</si>
  <si>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</si>
  <si>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</si>
  <si>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</si>
  <si>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</si>
  <si>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</si>
  <si>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</si>
  <si>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</si>
  <si>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</si>
  <si>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</si>
  <si>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</si>
  <si>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</si>
  <si>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</si>
  <si>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</si>
  <si>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</si>
  <si>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</si>
  <si>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</si>
  <si>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</si>
  <si>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</si>
  <si>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</si>
  <si>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</si>
  <si>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</si>
  <si>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</si>
  <si>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</si>
  <si>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</si>
  <si>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</si>
  <si>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</si>
  <si>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</si>
  <si>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</si>
  <si>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</si>
  <si>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</si>
  <si>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</si>
  <si>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</si>
  <si>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</si>
  <si>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</si>
  <si>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</si>
  <si>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</si>
  <si>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</si>
  <si>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</si>
  <si>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</si>
  <si>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</si>
  <si>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</si>
  <si>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</si>
  <si>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</si>
  <si>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</si>
  <si>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</si>
  <si>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</si>
  <si>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</si>
  <si>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</si>
  <si>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</si>
  <si>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</si>
  <si>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</si>
  <si>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</si>
  <si>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</si>
  <si>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</si>
  <si>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</si>
  <si>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</si>
  <si>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</si>
  <si>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</si>
  <si>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</si>
  <si>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</si>
  <si>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</si>
  <si>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</si>
  <si>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</si>
  <si>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</si>
  <si>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</si>
  <si>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</si>
  <si>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</si>
  <si>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</si>
  <si>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</si>
  <si>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</si>
  <si>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</si>
  <si>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</si>
  <si>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</si>
  <si>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</si>
  <si>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</si>
  <si>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</si>
  <si>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</si>
  <si>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</si>
  <si>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</si>
  <si>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</si>
  <si>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</si>
  <si>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</si>
  <si>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</si>
  <si>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</si>
  <si>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</si>
  <si>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</si>
  <si>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</si>
  <si>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</si>
  <si>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</si>
  <si>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</si>
  <si>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</si>
  <si>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</si>
  <si>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</si>
  <si>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</si>
  <si>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</si>
  <si>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</si>
  <si>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</si>
  <si>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</si>
  <si>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</si>
  <si>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</si>
  <si>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</si>
  <si>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</si>
  <si>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</si>
  <si>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</si>
  <si>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</si>
  <si>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</si>
  <si>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</si>
  <si>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</si>
  <si>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</si>
  <si>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</si>
  <si>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</si>
  <si>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</si>
  <si>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</si>
  <si>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</si>
  <si>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</si>
  <si>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</si>
  <si>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</si>
  <si>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</si>
  <si>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</si>
  <si>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</si>
  <si>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</si>
  <si>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</si>
  <si>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</si>
  <si>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</si>
  <si>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</si>
  <si>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</si>
  <si>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</si>
  <si>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</si>
  <si>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</si>
  <si>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</si>
  <si>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</si>
  <si>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</si>
  <si>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</si>
  <si>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</si>
  <si>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</si>
  <si>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</si>
  <si>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</si>
  <si>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</si>
  <si>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</si>
  <si>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</si>
  <si>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</si>
  <si>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</si>
  <si>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</si>
  <si>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</si>
  <si>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</si>
  <si>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</si>
  <si>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</si>
  <si>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</si>
  <si>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</si>
  <si>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</si>
  <si>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</si>
  <si>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</si>
  <si>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</si>
  <si>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</si>
  <si>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</si>
  <si>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</si>
  <si>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</si>
  <si>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</si>
  <si>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</si>
  <si>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</si>
  <si>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</si>
  <si>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</si>
  <si>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</si>
  <si>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</si>
  <si>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</si>
  <si>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</si>
  <si>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</si>
  <si>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</si>
  <si>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</si>
  <si>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</si>
  <si>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</si>
  <si>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</si>
  <si>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</si>
  <si>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</si>
  <si>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</si>
  <si>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</si>
  <si>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</si>
  <si>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</si>
  <si>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</si>
  <si>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</si>
  <si>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</si>
  <si>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</si>
  <si>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</si>
  <si>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</si>
  <si>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</si>
  <si>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</si>
  <si>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</si>
  <si>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</si>
  <si>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</si>
  <si>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</si>
  <si>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</si>
  <si>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</si>
  <si>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</si>
  <si>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</si>
  <si>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</si>
  <si>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</si>
  <si>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</si>
  <si>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</si>
  <si>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</si>
  <si>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</si>
  <si>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</si>
  <si>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</si>
  <si>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</si>
  <si>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</si>
  <si>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</si>
  <si>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</si>
  <si>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</si>
  <si>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</si>
  <si>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</si>
  <si>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</si>
  <si>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</si>
  <si>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</si>
  <si>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</si>
  <si>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</si>
  <si>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</si>
  <si>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</si>
  <si>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</si>
  <si>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</si>
  <si>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</si>
  <si>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</si>
  <si>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</si>
  <si>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</si>
  <si>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</si>
  <si>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</si>
  <si>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</si>
  <si>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</si>
  <si>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</si>
  <si>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</si>
  <si>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</si>
  <si>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</si>
  <si>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</si>
  <si>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</si>
  <si>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</si>
  <si>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</si>
  <si>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</si>
  <si>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</si>
  <si>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</si>
  <si>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</si>
  <si>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</si>
  <si>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</si>
  <si>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</si>
  <si>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</si>
  <si>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</si>
  <si>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</si>
  <si>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</si>
  <si>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</si>
  <si>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</si>
  <si>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</si>
  <si>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</si>
  <si>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</si>
  <si>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</si>
  <si>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</si>
  <si>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</si>
  <si>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</si>
  <si>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</si>
  <si>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</si>
  <si>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</si>
  <si>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</si>
  <si>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</si>
  <si>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</si>
  <si>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</si>
  <si>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</si>
  <si>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</si>
  <si>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</si>
  <si>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</si>
  <si>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</si>
  <si>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</si>
  <si>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</si>
  <si>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</si>
  <si>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</si>
  <si>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</si>
  <si>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</si>
  <si>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</si>
  <si>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</si>
  <si>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</si>
  <si>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</si>
  <si>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</si>
  <si>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</si>
  <si>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</si>
  <si>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</si>
  <si>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</si>
  <si>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</si>
  <si>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</si>
  <si>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</si>
  <si>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</si>
  <si>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</si>
  <si>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</si>
  <si>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</si>
  <si>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</si>
  <si>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</si>
  <si>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</si>
  <si>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</si>
  <si>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</si>
  <si>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</si>
  <si>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</si>
  <si>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</si>
  <si>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</si>
  <si>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</si>
  <si>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</si>
  <si>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</si>
  <si>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</si>
  <si>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</si>
  <si>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</si>
  <si>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</si>
  <si>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</si>
  <si>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</si>
  <si>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</si>
  <si>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</si>
  <si>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</si>
  <si>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</si>
  <si>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</si>
  <si>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</si>
  <si>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</si>
  <si>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</si>
  <si>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</si>
  <si>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</si>
  <si>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</si>
  <si>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</si>
  <si>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</si>
  <si>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</si>
  <si>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</si>
  <si>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</si>
  <si>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</si>
  <si>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</si>
  <si>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</si>
  <si>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</si>
  <si>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</si>
  <si>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</si>
  <si>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</si>
  <si>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</si>
  <si>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</si>
  <si>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</si>
  <si>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</si>
  <si>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</si>
  <si>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</si>
  <si>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</si>
  <si>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</si>
  <si>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</si>
  <si>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</si>
  <si>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</si>
  <si>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</si>
  <si>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</si>
  <si>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</si>
  <si>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</si>
  <si>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</si>
  <si>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</si>
  <si>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</si>
  <si>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</si>
  <si>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</si>
  <si>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</si>
  <si>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</si>
  <si>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</si>
  <si>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</si>
  <si>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</si>
  <si>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</si>
  <si>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</si>
  <si>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</si>
  <si>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</si>
  <si>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</si>
  <si>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</si>
  <si>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</si>
  <si>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</si>
  <si>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</si>
  <si>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</si>
  <si>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</si>
  <si>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</si>
  <si>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</si>
  <si>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</si>
  <si>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</si>
  <si>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</si>
  <si>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</si>
  <si>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</si>
  <si>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</si>
  <si>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</si>
  <si>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</si>
  <si>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</si>
  <si>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</si>
  <si>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</si>
  <si>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</si>
  <si>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</si>
  <si>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</si>
  <si>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</si>
  <si>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</si>
  <si>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</si>
  <si>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</si>
  <si>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</si>
  <si>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</si>
  <si>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</si>
  <si>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</si>
  <si>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</si>
  <si>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</si>
  <si>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</si>
  <si>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</si>
  <si>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</si>
  <si>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</si>
  <si>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</si>
  <si>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</si>
  <si>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</si>
  <si>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</si>
  <si>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</si>
  <si>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</si>
  <si>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</si>
  <si>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</si>
  <si>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</si>
  <si>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</si>
  <si>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</si>
  <si>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</si>
  <si>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</si>
  <si>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</si>
  <si>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</si>
  <si>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</si>
  <si>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</si>
  <si>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</si>
  <si>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</si>
  <si>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</si>
  <si>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</si>
  <si>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</si>
  <si>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</si>
  <si>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</si>
  <si>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</si>
  <si>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</si>
  <si>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</si>
  <si>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</si>
  <si>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</si>
  <si>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</si>
  <si>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</si>
  <si>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</si>
  <si>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</si>
  <si>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</si>
  <si>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</si>
  <si>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</si>
  <si>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</si>
  <si>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</si>
  <si>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</si>
  <si>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</si>
  <si>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</si>
  <si>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</si>
  <si>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</si>
  <si>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</si>
  <si>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</si>
  <si>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</si>
  <si>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</si>
  <si>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</si>
  <si>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</si>
  <si>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</si>
  <si>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</si>
  <si>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</si>
  <si>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</si>
  <si>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</si>
  <si>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</si>
  <si>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</si>
  <si>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</si>
  <si>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</si>
  <si>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</si>
  <si>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</si>
  <si>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</si>
  <si>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</si>
  <si>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</si>
  <si>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</si>
  <si>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</si>
  <si>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</si>
  <si>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</si>
  <si>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</si>
  <si>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</si>
  <si>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</si>
  <si>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</si>
  <si>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</si>
  <si>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</si>
  <si>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</si>
  <si>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</si>
  <si>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</si>
  <si>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</si>
  <si>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</si>
  <si>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</si>
  <si>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</si>
  <si>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</si>
  <si>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</si>
  <si>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</si>
  <si>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</si>
  <si>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</si>
  <si>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</si>
  <si>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</si>
  <si>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</si>
  <si>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</si>
  <si>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</si>
  <si>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</si>
  <si>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</si>
  <si>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</si>
  <si>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</si>
  <si>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</si>
  <si>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</si>
  <si>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</si>
  <si>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</si>
  <si>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</si>
  <si>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</si>
  <si>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</si>
  <si>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</si>
  <si>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</si>
  <si>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</si>
  <si>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</si>
  <si>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</si>
  <si>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</si>
  <si>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</si>
  <si>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</si>
  <si>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</si>
  <si>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</si>
  <si>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</si>
  <si>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</si>
  <si>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</si>
  <si>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</si>
  <si>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</si>
  <si>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</si>
  <si>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</si>
  <si>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</si>
  <si>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</si>
  <si>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</si>
  <si>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</si>
  <si>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</si>
  <si>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</si>
  <si>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</si>
  <si>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</si>
  <si>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</si>
  <si>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</si>
  <si>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</si>
  <si>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</si>
  <si>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</si>
  <si>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</si>
  <si>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</si>
  <si>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</si>
  <si>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</si>
  <si>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</si>
  <si>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</si>
  <si>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</si>
  <si>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</si>
  <si>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</si>
  <si>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</si>
  <si>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</si>
  <si>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</si>
  <si>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</si>
  <si>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</si>
  <si>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</si>
  <si>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</si>
  <si>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</si>
  <si>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</si>
  <si>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</si>
  <si>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</si>
  <si>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</si>
  <si>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</si>
  <si>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</si>
  <si>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</si>
  <si>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</si>
  <si>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</si>
  <si>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</si>
  <si>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</si>
  <si>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</si>
  <si>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</si>
  <si>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</si>
  <si>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</si>
  <si>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</si>
  <si>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</si>
  <si>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</si>
  <si>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</si>
  <si>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</si>
  <si>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</si>
  <si>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</si>
  <si>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</si>
  <si>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</si>
  <si>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</si>
  <si>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</si>
  <si>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</si>
  <si>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</si>
  <si>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</si>
  <si>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</si>
  <si>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</si>
  <si>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</si>
  <si>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</si>
  <si>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</si>
  <si>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</si>
  <si>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</si>
  <si>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</si>
  <si>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</si>
  <si>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</si>
  <si>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</si>
  <si>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</si>
  <si>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</si>
  <si>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</si>
  <si>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</si>
  <si>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</si>
  <si>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</si>
  <si>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</si>
  <si>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</si>
  <si>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</si>
  <si>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</si>
  <si>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</si>
  <si>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</si>
  <si>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</si>
  <si>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</si>
  <si>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</si>
  <si>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</si>
  <si>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</si>
  <si>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</si>
  <si>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</si>
  <si>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</si>
  <si>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</si>
  <si>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</si>
  <si>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</si>
  <si>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</si>
  <si>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</si>
  <si>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</si>
  <si>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</si>
  <si>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</si>
  <si>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</si>
  <si>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</si>
  <si>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</si>
  <si>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</si>
  <si>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</si>
  <si>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</si>
  <si>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</si>
  <si>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</si>
  <si>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</si>
  <si>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</si>
  <si>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</si>
  <si>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</si>
  <si>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</si>
  <si>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</si>
  <si>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</si>
  <si>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</si>
  <si>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</si>
  <si>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</si>
  <si>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</si>
  <si>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</si>
  <si>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</si>
  <si>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</si>
  <si>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</si>
  <si>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</si>
  <si>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</si>
  <si>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</si>
  <si>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</si>
  <si>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</si>
  <si>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</si>
  <si>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</si>
  <si>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</si>
  <si>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</si>
  <si>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</si>
  <si>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</si>
  <si>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</si>
  <si>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</si>
  <si>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</si>
  <si>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</si>
  <si>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</si>
  <si>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</si>
  <si>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</si>
  <si>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</si>
  <si>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</si>
  <si>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</si>
  <si>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</si>
  <si>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</si>
  <si>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</si>
  <si>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</si>
  <si>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</si>
  <si>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</si>
  <si>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</si>
  <si>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</si>
  <si>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</si>
  <si>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</si>
  <si>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</si>
  <si>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</si>
  <si>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</si>
  <si>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</si>
  <si>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</si>
  <si>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</si>
  <si>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</si>
  <si>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</si>
  <si>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</si>
  <si>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</si>
  <si>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</si>
  <si>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</si>
  <si>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</si>
  <si>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</si>
  <si>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</si>
  <si>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</si>
  <si>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</si>
  <si>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</si>
  <si>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</si>
  <si>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</si>
  <si>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</si>
  <si>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</si>
  <si>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</si>
  <si>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</si>
  <si>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</si>
  <si>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</si>
  <si>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</si>
  <si>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</si>
  <si>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</si>
  <si>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</si>
  <si>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</si>
  <si>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</si>
  <si>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</si>
  <si>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</si>
  <si>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</si>
  <si>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</si>
  <si>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</si>
  <si>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</si>
  <si>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</si>
  <si>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</si>
  <si>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</si>
  <si>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</si>
  <si>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</si>
  <si>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</si>
  <si>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</si>
  <si>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</si>
  <si>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</si>
  <si>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</si>
  <si>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</si>
  <si>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</si>
  <si>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</si>
  <si>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</si>
  <si>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</si>
  <si>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</si>
  <si>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</si>
  <si>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</si>
  <si>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</si>
  <si>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</si>
  <si>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</si>
  <si>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</si>
  <si>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</si>
  <si>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</si>
  <si>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</si>
  <si>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</si>
  <si>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</si>
  <si>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</si>
  <si>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</si>
  <si>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</si>
  <si>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</si>
  <si>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</si>
  <si>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</si>
  <si>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</si>
  <si>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</si>
  <si>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</si>
  <si>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</si>
  <si>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</si>
  <si>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</si>
  <si>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</si>
  <si>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</si>
  <si>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</si>
  <si>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</si>
  <si>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</si>
  <si>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</si>
  <si>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</si>
  <si>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</si>
  <si>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</si>
  <si>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</si>
  <si>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</si>
  <si>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</si>
  <si>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</si>
  <si>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</si>
  <si>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</si>
  <si>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</si>
  <si>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</si>
  <si>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</si>
  <si>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</si>
  <si>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</si>
  <si>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</si>
  <si>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</si>
  <si>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</si>
  <si>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</si>
  <si>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</si>
  <si>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</si>
  <si>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</si>
  <si>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</si>
  <si>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</si>
  <si>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</si>
  <si>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</si>
  <si>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</si>
  <si>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</si>
  <si>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</si>
  <si>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</si>
  <si>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</si>
  <si>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</si>
  <si>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</si>
  <si>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</si>
  <si>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</si>
  <si>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</si>
  <si>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</si>
  <si>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</si>
  <si>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</si>
  <si>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</si>
  <si>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</si>
  <si>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</si>
  <si>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</si>
  <si>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</si>
  <si>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</si>
  <si>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</si>
  <si>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</si>
  <si>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</si>
  <si>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</si>
  <si>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</si>
  <si>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</si>
  <si>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</si>
  <si>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</si>
  <si>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</si>
  <si>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</si>
  <si>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</si>
  <si>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</si>
  <si>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</si>
  <si>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</si>
  <si>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</si>
  <si>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</si>
  <si>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</si>
  <si>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</si>
  <si>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</si>
  <si>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</si>
  <si>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</si>
  <si>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</si>
  <si>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</si>
  <si>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</si>
  <si>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</si>
  <si>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</si>
  <si>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</si>
  <si>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</si>
  <si>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</si>
  <si>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</si>
  <si>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</si>
  <si>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</si>
  <si>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</si>
  <si>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</si>
  <si>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</si>
  <si>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</si>
  <si>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</si>
  <si>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</si>
  <si>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</si>
  <si>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</si>
  <si>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</si>
  <si>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</si>
  <si>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</si>
  <si>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</si>
  <si>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</si>
  <si>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</si>
  <si>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</si>
  <si>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</si>
  <si>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</si>
  <si>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</si>
  <si>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</si>
  <si>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</si>
  <si>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</si>
  <si>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</si>
  <si>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</si>
  <si>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</si>
  <si>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</si>
  <si>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</si>
  <si>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</si>
  <si>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</si>
  <si>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</si>
  <si>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</si>
  <si>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</si>
  <si>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</si>
  <si>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</si>
  <si>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</si>
  <si>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</si>
  <si>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</si>
  <si>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</si>
  <si>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</si>
  <si>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</si>
  <si>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</si>
  <si>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</si>
  <si>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</si>
  <si>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</si>
  <si>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</si>
  <si>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</si>
  <si>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</si>
  <si>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</si>
  <si>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</si>
  <si>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</si>
  <si>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</si>
  <si>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</si>
  <si>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</si>
  <si>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</si>
  <si>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</si>
  <si>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</si>
  <si>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</si>
  <si>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</si>
  <si>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</si>
  <si>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</si>
  <si>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</si>
  <si>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</si>
  <si>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</si>
  <si>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</si>
  <si>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</si>
  <si>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</si>
  <si>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</si>
  <si>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</si>
  <si>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</si>
  <si>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</si>
  <si>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</si>
  <si>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</si>
  <si>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</si>
  <si>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</si>
  <si>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</si>
  <si>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</si>
  <si>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</si>
  <si>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</si>
  <si>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</si>
  <si>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</si>
  <si>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</si>
  <si>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</si>
  <si>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</si>
  <si>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</si>
  <si>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</si>
  <si>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</si>
  <si>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</si>
  <si>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</si>
  <si>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</si>
  <si>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</si>
  <si>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</si>
  <si>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</si>
  <si>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</si>
  <si>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</si>
  <si>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</si>
  <si>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</si>
  <si>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</si>
  <si>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</si>
  <si>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</si>
  <si>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</si>
  <si>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</si>
  <si>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</si>
  <si>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</si>
  <si>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</si>
  <si>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</si>
  <si>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</si>
  <si>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</si>
  <si>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</si>
  <si>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</si>
  <si>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</si>
  <si>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</si>
  <si>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</si>
  <si>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</si>
  <si>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</si>
  <si>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</si>
  <si>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</si>
  <si>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</si>
  <si>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</si>
  <si>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</si>
  <si>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</si>
  <si>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</si>
  <si>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</si>
  <si>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</si>
  <si>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</si>
  <si>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</si>
  <si>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</si>
  <si>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</si>
  <si>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</si>
  <si>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</si>
  <si>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</si>
  <si>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</si>
  <si>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</si>
  <si>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</si>
  <si>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</si>
  <si>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</si>
  <si>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</si>
  <si>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</si>
  <si>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</si>
  <si>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</si>
  <si>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</si>
  <si>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</si>
  <si>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</si>
  <si>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</si>
  <si>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</si>
  <si>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</si>
  <si>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</si>
  <si>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</si>
  <si>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</si>
  <si>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</si>
  <si>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</si>
  <si>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</si>
  <si>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</si>
  <si>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</si>
  <si>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</si>
  <si>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</si>
  <si>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</si>
  <si>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</si>
  <si>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</si>
  <si>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</si>
  <si>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</si>
  <si>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</si>
  <si>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</si>
  <si>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</si>
  <si>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</si>
  <si>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</si>
  <si>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</si>
  <si>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</si>
  <si>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</si>
  <si>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</si>
  <si>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</si>
  <si>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</si>
  <si>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</si>
  <si>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</si>
  <si>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</si>
  <si>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</si>
  <si>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</si>
  <si>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</si>
  <si>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</si>
  <si>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</si>
  <si>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</si>
  <si>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</si>
  <si>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</si>
  <si>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</si>
  <si>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</si>
  <si>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</si>
  <si>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</si>
  <si>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</si>
  <si>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</si>
  <si>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</si>
  <si>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</si>
  <si>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</si>
  <si>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</si>
  <si>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</si>
  <si>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</si>
  <si>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</si>
  <si>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</si>
  <si>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</si>
  <si>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</si>
  <si>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</si>
  <si>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</si>
  <si>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</si>
  <si>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</si>
  <si>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</si>
  <si>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</si>
  <si>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</si>
  <si>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</si>
  <si>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</si>
  <si>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</si>
  <si>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</si>
  <si>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</si>
  <si>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</si>
  <si>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</si>
  <si>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</si>
  <si>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</si>
  <si>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</si>
  <si>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</si>
  <si>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</si>
  <si>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</si>
  <si>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</si>
  <si>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</si>
  <si>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</si>
  <si>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</si>
  <si>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</si>
  <si>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</si>
  <si>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</si>
  <si>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</si>
  <si>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</si>
  <si>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</si>
  <si>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</si>
  <si>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</si>
  <si>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</si>
  <si>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</si>
  <si>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</si>
  <si>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</si>
  <si>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</si>
  <si>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</si>
  <si>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</si>
  <si>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</si>
  <si>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</si>
  <si>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</si>
  <si>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</si>
  <si>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</si>
  <si>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</si>
  <si>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</si>
  <si>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</si>
  <si>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</si>
  <si>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</si>
  <si>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</si>
  <si>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</si>
  <si>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</si>
  <si>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</si>
  <si>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</si>
  <si>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</si>
  <si>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</si>
  <si>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</si>
  <si>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</si>
  <si>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</si>
  <si>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</si>
  <si>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</si>
  <si>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</si>
  <si>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</si>
  <si>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</si>
  <si>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</si>
  <si>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</si>
  <si>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</si>
  <si>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</si>
  <si>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</si>
  <si>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</si>
  <si>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</si>
  <si>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</si>
  <si>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</si>
  <si>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</si>
  <si>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</si>
  <si>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</si>
  <si>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</si>
  <si>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</si>
  <si>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</si>
  <si>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</si>
  <si>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</si>
  <si>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</si>
  <si>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</si>
  <si>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</si>
  <si>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</si>
  <si>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</si>
  <si>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</si>
  <si>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</si>
  <si>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</si>
  <si>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</si>
  <si>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</si>
  <si>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</si>
  <si>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</si>
  <si>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</si>
  <si>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</si>
  <si>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</si>
  <si>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</si>
  <si>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</si>
  <si>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</si>
  <si>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</si>
  <si>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</si>
  <si>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</si>
  <si>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</si>
  <si>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</si>
  <si>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</si>
  <si>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</si>
  <si>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</si>
  <si>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</si>
  <si>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</si>
  <si>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</si>
  <si>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</si>
  <si>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</si>
  <si>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</si>
  <si>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</si>
  <si>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</si>
  <si>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</si>
  <si>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</si>
  <si>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</si>
  <si>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</si>
  <si>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</si>
  <si>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</si>
  <si>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</si>
  <si>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</si>
  <si>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</si>
  <si>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</si>
  <si>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</si>
  <si>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</si>
  <si>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</si>
  <si>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</si>
  <si>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</si>
  <si>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</si>
  <si>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</si>
  <si>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</si>
  <si>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</si>
  <si>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</si>
  <si>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</si>
  <si>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</si>
  <si>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</si>
  <si>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</si>
  <si>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</si>
  <si>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</si>
  <si>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</si>
  <si>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</si>
  <si>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</si>
  <si>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</si>
  <si>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</si>
  <si>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</si>
  <si>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</si>
  <si>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</si>
  <si>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</si>
  <si>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</si>
  <si>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</si>
  <si>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</si>
  <si>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</si>
  <si>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</si>
  <si>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</si>
  <si>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</si>
  <si>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</si>
  <si>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</si>
  <si>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</si>
  <si>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</si>
  <si>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</si>
  <si>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</si>
  <si>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</si>
  <si>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</si>
  <si>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</si>
  <si>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</si>
  <si>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</si>
  <si>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</si>
  <si>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</si>
  <si>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</si>
  <si>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</si>
  <si>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</si>
  <si>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</si>
  <si>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</si>
  <si>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</si>
  <si>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</si>
  <si>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</si>
  <si>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</si>
  <si>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</si>
  <si>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</si>
  <si>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</si>
  <si>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</si>
  <si>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</si>
  <si>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</si>
  <si>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</si>
  <si>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</si>
  <si>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</si>
  <si>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</si>
  <si>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</si>
  <si>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</si>
  <si>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</si>
  <si>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</si>
  <si>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</si>
  <si>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</si>
  <si>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</si>
  <si>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</si>
  <si>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</si>
  <si>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</si>
  <si>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</si>
  <si>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</si>
  <si>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</si>
  <si>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</si>
  <si>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</si>
  <si>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</si>
  <si>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</si>
  <si>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</si>
  <si>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</si>
  <si>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</si>
  <si>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</si>
  <si>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</si>
  <si>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</si>
  <si>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</si>
  <si>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</si>
  <si>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</si>
  <si>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</si>
  <si>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</si>
  <si>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</si>
  <si>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</si>
  <si>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</si>
  <si>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</si>
  <si>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</si>
  <si>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</si>
  <si>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</si>
  <si>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</si>
  <si>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</si>
  <si>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</si>
  <si>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</si>
  <si>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</si>
  <si>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</si>
  <si>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</si>
  <si>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</si>
  <si>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</si>
  <si>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</si>
  <si>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</si>
  <si>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</si>
  <si>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</si>
  <si>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</si>
  <si>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</si>
  <si>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</si>
  <si>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</si>
  <si>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</si>
  <si>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</si>
  <si>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</si>
  <si>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</si>
  <si>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</si>
  <si>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</si>
  <si>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</si>
  <si>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</si>
  <si>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</si>
  <si>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</si>
  <si>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</si>
  <si>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</si>
  <si>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</si>
  <si>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</si>
  <si>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</si>
  <si>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</si>
  <si>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</si>
  <si>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</si>
  <si>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</si>
  <si>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</si>
  <si>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</si>
  <si>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</si>
  <si>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</si>
  <si>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</si>
  <si>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</si>
  <si>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</si>
  <si>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</si>
  <si>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</si>
  <si>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</si>
  <si>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</si>
  <si>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</si>
  <si>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</si>
  <si>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</si>
  <si>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</si>
  <si>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</si>
  <si>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</si>
  <si>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</si>
  <si>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</si>
  <si>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</si>
  <si>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</si>
  <si>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</si>
  <si>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</si>
  <si>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</si>
  <si>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</si>
  <si>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</si>
  <si>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</si>
  <si>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</si>
  <si>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</si>
  <si>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</si>
  <si>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</si>
  <si>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</si>
  <si>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</si>
  <si>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</si>
  <si>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</si>
  <si>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</si>
  <si>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</si>
  <si>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</si>
  <si>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</si>
  <si>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</si>
  <si>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</si>
  <si>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</si>
  <si>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</si>
  <si>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</si>
  <si>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</si>
  <si>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</si>
  <si>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</si>
  <si>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</si>
  <si>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</si>
  <si>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</si>
  <si>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</si>
  <si>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</si>
  <si>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</si>
  <si>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</si>
  <si>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</si>
  <si>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</si>
  <si>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</si>
  <si>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</si>
  <si>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</si>
  <si>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</si>
  <si>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</si>
  <si>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</si>
  <si>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</si>
  <si>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</si>
  <si>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</si>
  <si>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</si>
  <si>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</si>
  <si>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</si>
  <si>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</si>
  <si>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</si>
  <si>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</si>
  <si>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</si>
  <si>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</si>
  <si>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</si>
  <si>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</si>
  <si>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</si>
  <si>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</si>
  <si>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</si>
  <si>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</si>
  <si>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</si>
  <si>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</si>
  <si>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</si>
  <si>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</si>
  <si>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</si>
  <si>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</si>
  <si>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</si>
  <si>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</si>
  <si>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</si>
  <si>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</si>
  <si>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</si>
  <si>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</si>
  <si>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</si>
  <si>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</si>
  <si>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</si>
  <si>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</si>
  <si>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</si>
  <si>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</si>
  <si>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</si>
  <si>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</si>
  <si>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</si>
  <si>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</si>
  <si>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</si>
  <si>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</si>
  <si>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</si>
  <si>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</si>
  <si>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</si>
  <si>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</si>
  <si>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</si>
  <si>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</si>
  <si>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</si>
  <si>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</si>
  <si>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</si>
  <si>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</si>
  <si>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</si>
  <si>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</si>
  <si>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</si>
  <si>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</si>
  <si>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</si>
  <si>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</si>
  <si>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</si>
  <si>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</si>
  <si>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</si>
  <si>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</si>
  <si>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</si>
  <si>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</si>
  <si>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</si>
  <si>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</si>
  <si>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</si>
  <si>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</si>
  <si>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</si>
  <si>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</si>
  <si>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</si>
  <si>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</si>
  <si>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</si>
  <si>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</si>
  <si>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</si>
  <si>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</si>
  <si>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</si>
  <si>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</si>
  <si>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</si>
  <si>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</si>
  <si>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</si>
  <si>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</si>
  <si>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</si>
  <si>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</si>
  <si>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</si>
  <si>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</si>
  <si>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</si>
  <si>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</si>
  <si>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</si>
  <si>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</si>
  <si>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</si>
  <si>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</si>
  <si>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</si>
  <si>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</si>
  <si>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</si>
  <si>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</si>
  <si>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</si>
  <si>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</si>
  <si>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</si>
  <si>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</si>
  <si>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</si>
  <si>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</si>
  <si>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</si>
  <si>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</si>
  <si>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</si>
  <si>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</si>
  <si>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</si>
  <si>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</si>
  <si>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</si>
  <si>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</si>
  <si>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</si>
  <si>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</si>
  <si>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</si>
  <si>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</si>
  <si>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</si>
  <si>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</si>
  <si>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</si>
  <si>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</si>
  <si>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</si>
  <si>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</si>
  <si>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</si>
  <si>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</si>
  <si>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</si>
  <si>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</si>
  <si>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</si>
  <si>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</si>
  <si>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</si>
  <si>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</si>
  <si>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</si>
  <si>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</si>
  <si>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</si>
  <si>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</si>
  <si>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</si>
  <si>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</si>
  <si>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</si>
  <si>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</si>
  <si>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</si>
  <si>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</si>
  <si>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</si>
  <si>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</si>
  <si>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</si>
  <si>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</si>
  <si>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</si>
  <si>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</si>
  <si>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</si>
  <si>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</si>
  <si>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</si>
  <si>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</si>
  <si>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</si>
  <si>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</si>
  <si>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</si>
  <si>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</si>
  <si>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</si>
  <si>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</si>
  <si>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</si>
  <si>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</si>
  <si>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</si>
  <si>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</si>
  <si>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</si>
  <si>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</si>
  <si>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</si>
  <si>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</si>
  <si>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</si>
  <si>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</si>
  <si>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</si>
  <si>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</si>
  <si>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</si>
  <si>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</si>
  <si>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</si>
  <si>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</si>
  <si>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</si>
  <si>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</si>
  <si>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</si>
  <si>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</si>
  <si>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</si>
  <si>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</si>
  <si>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</si>
  <si>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</si>
  <si>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</si>
  <si>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</si>
  <si>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</si>
  <si>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</si>
  <si>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</si>
  <si>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</si>
  <si>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</si>
  <si>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</si>
  <si>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</si>
  <si>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</si>
  <si>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</si>
  <si>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</si>
  <si>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</si>
  <si>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</si>
  <si>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</si>
  <si>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</si>
  <si>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</si>
  <si>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</si>
  <si>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</si>
  <si>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</si>
  <si>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</si>
  <si>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</si>
  <si>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</si>
  <si>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</si>
  <si>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</si>
  <si>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</si>
  <si>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</si>
  <si>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</si>
  <si>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</si>
  <si>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</si>
  <si>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</si>
  <si>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</si>
  <si>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</si>
  <si>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</si>
  <si>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</si>
  <si>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</si>
  <si>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</si>
  <si>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</si>
  <si>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</si>
  <si>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</si>
  <si>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</si>
  <si>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</si>
  <si>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</si>
  <si>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</si>
  <si>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</si>
  <si>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</si>
  <si>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</si>
  <si>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</si>
  <si>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</si>
  <si>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</si>
  <si>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</si>
  <si>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</si>
  <si>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</si>
  <si>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</si>
  <si>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</si>
  <si>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</si>
  <si>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</si>
  <si>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</si>
  <si>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</si>
  <si>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</si>
  <si>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</si>
  <si>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</si>
  <si>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</si>
  <si>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</si>
  <si>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</si>
  <si>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</si>
  <si>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</si>
  <si>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</si>
  <si>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</si>
  <si>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</si>
  <si>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</si>
  <si>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</si>
  <si>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</si>
  <si>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</si>
  <si>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</si>
  <si>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</si>
  <si>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</si>
  <si>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</si>
  <si>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</si>
  <si>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</si>
  <si>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</si>
  <si>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</si>
  <si>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</si>
  <si>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</si>
  <si>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</si>
  <si>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</si>
  <si>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</si>
  <si>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</si>
  <si>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</si>
  <si>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</si>
  <si>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</si>
  <si>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</si>
  <si>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</si>
  <si>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</si>
  <si>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</si>
  <si>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</si>
  <si>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</si>
  <si>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</si>
  <si>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</si>
  <si>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</si>
  <si>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</si>
  <si>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</si>
  <si>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</si>
  <si>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</si>
  <si>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</si>
  <si>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</si>
  <si>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</si>
  <si>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</si>
  <si>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</si>
  <si>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</si>
  <si>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</si>
  <si>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</si>
  <si>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</si>
  <si>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</si>
  <si>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</si>
  <si>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</si>
  <si>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</si>
  <si>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</si>
  <si>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</si>
  <si>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</si>
  <si>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</si>
  <si>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</si>
  <si>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</si>
  <si>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</si>
  <si>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</si>
  <si>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</si>
  <si>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</si>
  <si>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</si>
  <si>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</si>
  <si>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</si>
  <si>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</si>
  <si>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</si>
  <si>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</si>
  <si>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</si>
  <si>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</si>
  <si>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</si>
  <si>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</si>
  <si>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</si>
  <si>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</si>
  <si>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</si>
  <si>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</si>
  <si>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</si>
  <si>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</si>
  <si>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</si>
  <si>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</si>
  <si>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</si>
  <si>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</si>
  <si>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</si>
  <si>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</si>
  <si>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</si>
  <si>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</si>
  <si>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</si>
  <si>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</si>
  <si>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</si>
  <si>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</si>
  <si>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</si>
  <si>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</si>
  <si>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</si>
  <si>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</si>
  <si>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</si>
  <si>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</si>
  <si>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</si>
  <si>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</si>
  <si>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</si>
  <si>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</si>
  <si>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</si>
  <si>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</si>
  <si>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</si>
  <si>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</si>
  <si>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</si>
  <si>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</si>
  <si>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</si>
  <si>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</si>
  <si>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</si>
  <si>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</si>
  <si>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</si>
  <si>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</si>
  <si>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</si>
  <si>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</si>
  <si>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</si>
  <si>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</si>
  <si>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</si>
  <si>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</si>
  <si>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</si>
  <si>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</si>
  <si>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</si>
  <si>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</si>
  <si>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</si>
  <si>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</si>
  <si>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</si>
  <si>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</si>
  <si>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</si>
  <si>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</si>
  <si>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</si>
  <si>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</si>
  <si>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</si>
  <si>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</si>
  <si>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</si>
  <si>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</si>
  <si>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</si>
  <si>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</si>
  <si>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</si>
  <si>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</si>
  <si>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</si>
  <si>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</si>
  <si>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</si>
  <si>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</si>
  <si>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</si>
  <si>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</si>
  <si>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</si>
  <si>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</si>
  <si>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</si>
  <si>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</si>
  <si>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</si>
  <si>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</si>
  <si>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</si>
  <si>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</si>
  <si>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</si>
  <si>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</si>
  <si>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</si>
  <si>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</si>
  <si>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</si>
  <si>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</si>
  <si>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</si>
  <si>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</si>
  <si>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</si>
  <si>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</si>
  <si>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</si>
  <si>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</si>
  <si>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</si>
  <si>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</si>
  <si>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</si>
  <si>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</si>
  <si>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</si>
  <si>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</si>
  <si>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</si>
  <si>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</si>
  <si>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</si>
  <si>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</si>
  <si>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</si>
  <si>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</si>
  <si>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</si>
  <si>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</si>
  <si>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</si>
  <si>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</si>
  <si>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</si>
  <si>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</si>
  <si>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</si>
  <si>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</si>
  <si>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</si>
  <si>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</si>
  <si>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</si>
  <si>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</si>
  <si>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</si>
  <si>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</si>
  <si>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</si>
  <si>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</si>
  <si>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</si>
  <si>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</si>
  <si>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</si>
  <si>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</si>
  <si>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</si>
  <si>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</si>
  <si>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</si>
  <si>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</si>
  <si>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</si>
  <si>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</si>
  <si>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</si>
  <si>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</si>
  <si>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</si>
  <si>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</si>
  <si>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</si>
  <si>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</si>
  <si>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</si>
  <si>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</si>
  <si>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</si>
  <si>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</si>
  <si>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</si>
  <si>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</si>
  <si>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</si>
  <si>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</si>
  <si>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</si>
  <si>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</si>
  <si>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</si>
  <si>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</si>
  <si>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</si>
  <si>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</si>
  <si>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</si>
  <si>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</si>
  <si>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</si>
  <si>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</si>
  <si>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</si>
  <si>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</si>
  <si>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</si>
  <si>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</si>
  <si>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</si>
  <si>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</si>
  <si>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</si>
  <si>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</si>
  <si>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</si>
  <si>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</si>
  <si>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</si>
  <si>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</si>
  <si>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</si>
  <si>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</si>
  <si>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</si>
  <si>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</si>
  <si>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</si>
  <si>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</si>
  <si>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</si>
  <si>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</si>
  <si>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</si>
  <si>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</si>
  <si>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</si>
  <si>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</si>
  <si>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</si>
  <si>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</si>
  <si>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</si>
  <si>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</si>
  <si>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</si>
  <si>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</si>
  <si>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</si>
  <si>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</si>
  <si>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</si>
  <si>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</si>
  <si>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</si>
  <si>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</si>
  <si>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</si>
  <si>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</si>
  <si>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</si>
  <si>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</si>
  <si>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</si>
  <si>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</si>
  <si>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</si>
  <si>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</si>
  <si>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</si>
  <si>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</si>
  <si>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</si>
  <si>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</si>
  <si>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</si>
  <si>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</si>
  <si>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</si>
  <si>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</si>
  <si>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</si>
  <si>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</si>
  <si>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</si>
  <si>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</si>
  <si>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</si>
  <si>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</si>
  <si>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</si>
  <si>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</si>
  <si>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</si>
  <si>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</si>
  <si>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</si>
  <si>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</si>
  <si>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</si>
  <si>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</si>
  <si>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</si>
  <si>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</si>
  <si>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</si>
  <si>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</si>
  <si>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</si>
  <si>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</si>
  <si>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</si>
  <si>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</si>
  <si>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</si>
  <si>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</si>
  <si>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</si>
  <si>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</si>
  <si>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</si>
  <si>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</si>
  <si>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</si>
  <si>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</si>
  <si>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</si>
  <si>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</si>
  <si>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</si>
  <si>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</si>
  <si>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</si>
  <si>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</si>
  <si>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</si>
  <si>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</si>
  <si>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</si>
  <si>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</si>
  <si>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</si>
  <si>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</si>
  <si>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</si>
  <si>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</si>
  <si>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</si>
  <si>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</si>
  <si>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</si>
  <si>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</si>
  <si>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</si>
  <si>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</si>
  <si>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</si>
  <si>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</si>
  <si>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</si>
  <si>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</si>
  <si>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</si>
  <si>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</si>
  <si>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</si>
  <si>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</si>
  <si>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</si>
  <si>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</si>
  <si>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</si>
  <si>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</si>
  <si>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</si>
  <si>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</si>
  <si>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</si>
  <si>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</si>
  <si>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</si>
  <si>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</si>
  <si>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</si>
  <si>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</si>
  <si>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</si>
  <si>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</si>
  <si>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</si>
  <si>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</si>
  <si>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</si>
  <si>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</si>
  <si>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</si>
  <si>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</si>
  <si>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</si>
  <si>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</si>
  <si>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</si>
  <si>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</si>
  <si>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</si>
  <si>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</si>
  <si>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</si>
  <si>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</si>
  <si>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</si>
  <si>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</si>
  <si>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</si>
  <si>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</si>
  <si>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</si>
  <si>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</si>
  <si>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</si>
  <si>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</si>
  <si>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</si>
  <si>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</si>
  <si>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</si>
  <si>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</si>
  <si>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</si>
  <si>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</si>
  <si>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</si>
  <si>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</si>
  <si>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</si>
  <si>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</si>
  <si>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</si>
  <si>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</si>
  <si>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</si>
  <si>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</si>
  <si>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</si>
  <si>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</si>
  <si>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</si>
  <si>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</si>
  <si>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</si>
  <si>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</si>
  <si>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</si>
  <si>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</si>
  <si>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</si>
  <si>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</si>
  <si>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</si>
  <si>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</si>
  <si>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</si>
  <si>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</si>
  <si>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</si>
  <si>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</si>
  <si>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</si>
  <si>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</si>
  <si>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</si>
  <si>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</si>
  <si>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</si>
  <si>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</si>
  <si>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</si>
  <si>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</si>
  <si>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</si>
  <si>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</si>
  <si>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</si>
  <si>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</si>
  <si>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</si>
  <si>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</si>
  <si>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</si>
  <si>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</si>
  <si>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</si>
  <si>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</si>
  <si>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</si>
  <si>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</si>
  <si>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</si>
  <si>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</si>
  <si>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</si>
  <si>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</si>
  <si>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</si>
  <si>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</si>
  <si>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</si>
  <si>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</si>
  <si>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</si>
  <si>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</si>
  <si>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</si>
  <si>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</si>
  <si>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</si>
  <si>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</si>
  <si>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</si>
  <si>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</si>
  <si>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</si>
  <si>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</si>
  <si>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</si>
  <si>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</si>
  <si>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</si>
  <si>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</si>
  <si>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</si>
  <si>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</si>
  <si>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</si>
  <si>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</si>
  <si>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</si>
  <si>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</si>
  <si>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</si>
  <si>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</si>
  <si>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</si>
  <si>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</si>
  <si>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</si>
  <si>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</si>
  <si>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</si>
  <si>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</si>
  <si>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</si>
  <si>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</si>
  <si>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</si>
  <si>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</si>
  <si>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</si>
  <si>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</si>
  <si>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</si>
  <si>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</si>
  <si>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</si>
  <si>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</si>
  <si>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</si>
  <si>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</si>
  <si>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</si>
  <si>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</si>
  <si>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</si>
  <si>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</si>
  <si>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</si>
  <si>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</si>
  <si>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</si>
  <si>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</si>
  <si>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</si>
  <si>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</si>
  <si>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</si>
  <si>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</si>
  <si>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</si>
  <si>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</si>
  <si>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</si>
  <si>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</si>
  <si>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</si>
  <si>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</si>
  <si>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</si>
  <si>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</si>
  <si>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</si>
  <si>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</si>
  <si>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</si>
  <si>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</si>
  <si>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</si>
  <si>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</si>
  <si>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</si>
  <si>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</si>
  <si>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</si>
  <si>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</si>
  <si>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</si>
  <si>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</si>
  <si>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</si>
  <si>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</si>
  <si>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</si>
  <si>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</si>
  <si>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</si>
  <si>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</si>
  <si>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</si>
  <si>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</si>
  <si>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</si>
  <si>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</si>
  <si>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</si>
  <si>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</si>
  <si>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</si>
  <si>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</si>
  <si>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</si>
  <si>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</si>
  <si>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</si>
  <si>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</si>
  <si>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</si>
  <si>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</si>
  <si>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</si>
  <si>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</si>
  <si>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</si>
  <si>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</si>
  <si>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</si>
  <si>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</si>
  <si>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</si>
  <si>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</si>
  <si>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</si>
  <si>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</si>
  <si>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</si>
  <si>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</si>
  <si>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</si>
  <si>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</si>
  <si>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</si>
  <si>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</si>
  <si>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</si>
  <si>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</si>
  <si>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</si>
  <si>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</si>
  <si>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</si>
  <si>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</si>
  <si>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</si>
  <si>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</si>
  <si>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</si>
  <si>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</si>
  <si>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</si>
  <si>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</si>
  <si>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</si>
  <si>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</si>
  <si>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</si>
  <si>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</si>
  <si>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</si>
  <si>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</si>
  <si>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</si>
  <si>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</si>
  <si>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</si>
  <si>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</si>
  <si>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</si>
  <si>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</si>
  <si>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</si>
  <si>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</si>
  <si>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</si>
  <si>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</si>
  <si>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</si>
  <si>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</si>
  <si>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</si>
  <si>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</si>
  <si>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</si>
  <si>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</si>
  <si>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</si>
  <si>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</si>
  <si>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</si>
  <si>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</si>
  <si>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</si>
  <si>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</si>
  <si>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</si>
  <si>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</si>
  <si>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</si>
  <si>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</si>
  <si>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</si>
  <si>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</si>
  <si>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</si>
  <si>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</si>
  <si>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</si>
  <si>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</si>
  <si>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</si>
  <si>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</si>
  <si>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</si>
  <si>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</si>
  <si>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</si>
  <si>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</si>
  <si>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</si>
  <si>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</si>
  <si>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</si>
  <si>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</si>
  <si>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</si>
  <si>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</si>
  <si>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</si>
  <si>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</si>
  <si>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</si>
  <si>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</si>
  <si>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</si>
  <si>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</si>
  <si>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</si>
  <si>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</si>
  <si>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</si>
  <si>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</si>
  <si>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</si>
  <si>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</si>
  <si>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</si>
  <si>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</si>
  <si>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</si>
  <si>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</si>
  <si>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</si>
  <si>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</si>
  <si>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</si>
  <si>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</si>
  <si>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</si>
  <si>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</si>
  <si>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</si>
  <si>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</si>
  <si>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</si>
  <si>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</si>
  <si>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</si>
  <si>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</si>
  <si>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</si>
  <si>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</si>
  <si>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</si>
  <si>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</si>
  <si>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</si>
  <si>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</si>
  <si>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</si>
  <si>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</si>
  <si>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</si>
  <si>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</si>
  <si>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</si>
  <si>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</si>
  <si>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</si>
  <si>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</si>
  <si>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</si>
  <si>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</si>
  <si>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</si>
  <si>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</si>
  <si>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</si>
  <si>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</si>
  <si>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</si>
  <si>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</si>
  <si>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</si>
  <si>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</si>
  <si>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</si>
  <si>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</si>
  <si>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</si>
  <si>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</si>
  <si>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</si>
  <si>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</si>
  <si>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</si>
  <si>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</si>
  <si>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</si>
  <si>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</si>
  <si>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</si>
  <si>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</si>
  <si>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</si>
  <si>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</si>
  <si>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</si>
  <si>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</si>
  <si>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</si>
  <si>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</si>
  <si>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</si>
  <si>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</si>
  <si>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</si>
  <si>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</si>
  <si>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</si>
  <si>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</si>
  <si>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</si>
  <si>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</si>
  <si>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</si>
  <si>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</si>
  <si>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</si>
  <si>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</si>
  <si>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</si>
  <si>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</si>
  <si>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</si>
  <si>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</si>
  <si>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</si>
  <si>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</si>
  <si>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</si>
  <si>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</si>
  <si>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</si>
  <si>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</si>
  <si>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</si>
  <si>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</si>
  <si>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</si>
  <si>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</si>
  <si>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</si>
  <si>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</si>
  <si>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</si>
  <si>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</si>
  <si>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</si>
  <si>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</si>
  <si>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</si>
  <si>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</si>
  <si>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</si>
  <si>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</si>
  <si>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</si>
  <si>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</si>
  <si>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</si>
  <si>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</si>
  <si>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</si>
  <si>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</si>
  <si>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</si>
  <si>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</si>
  <si>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</si>
  <si>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</si>
  <si>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</si>
  <si>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</si>
  <si>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</si>
  <si>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</si>
  <si>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</si>
  <si>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</si>
  <si>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</si>
  <si>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</si>
  <si>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</si>
  <si>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</si>
  <si>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</si>
  <si>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</si>
  <si>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</si>
  <si>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</si>
  <si>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</si>
  <si>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</si>
  <si>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</si>
  <si>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</si>
  <si>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</si>
  <si>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</si>
  <si>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</si>
  <si>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</si>
  <si>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</si>
  <si>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</si>
  <si>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</si>
  <si>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</si>
  <si>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</si>
  <si>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</si>
  <si>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</si>
  <si>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</si>
  <si>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</si>
  <si>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</si>
  <si>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</si>
  <si>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</si>
  <si>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</si>
  <si>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</si>
  <si>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</si>
  <si>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</si>
  <si>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</si>
  <si>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</si>
  <si>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</si>
  <si>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</si>
  <si>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</si>
  <si>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</si>
  <si>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</si>
  <si>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</si>
  <si>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</si>
  <si>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</si>
  <si>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</si>
  <si>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</si>
  <si>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</si>
  <si>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</si>
  <si>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</si>
  <si>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</si>
  <si>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</si>
  <si>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</si>
  <si>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</si>
  <si>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</si>
  <si>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</si>
  <si>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</si>
  <si>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</si>
  <si>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</si>
  <si>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</si>
  <si>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</si>
  <si>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</si>
  <si>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</si>
  <si>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</si>
  <si>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</si>
  <si>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</si>
  <si>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</si>
  <si>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</si>
  <si>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</si>
  <si>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</si>
  <si>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</si>
  <si>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</si>
  <si>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</si>
  <si>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</si>
  <si>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</si>
  <si>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</si>
  <si>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</si>
  <si>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</si>
  <si>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</si>
  <si>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</si>
  <si>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</si>
  <si>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</si>
  <si>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</si>
  <si>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</si>
  <si>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</si>
  <si>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</si>
  <si>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</si>
  <si>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</si>
  <si>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</si>
  <si>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</si>
  <si>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</si>
  <si>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</si>
  <si>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</si>
  <si>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</si>
  <si>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</si>
  <si>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</si>
  <si>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</si>
  <si>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</si>
  <si>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</si>
  <si>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</si>
  <si>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</si>
  <si>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</si>
  <si>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</si>
  <si>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</si>
  <si>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</si>
  <si>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</si>
  <si>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</si>
  <si>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</si>
  <si>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</si>
  <si>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</si>
  <si>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</si>
  <si>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</si>
  <si>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</si>
  <si>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</si>
  <si>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</si>
  <si>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</si>
  <si>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</si>
  <si>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</si>
  <si>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</si>
  <si>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</si>
  <si>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</si>
  <si>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</si>
  <si>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</si>
  <si>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</si>
  <si>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</si>
  <si>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</si>
  <si>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</si>
  <si>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</si>
  <si>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</si>
  <si>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</si>
  <si>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</si>
  <si>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</si>
  <si>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</si>
  <si>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</si>
  <si>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</si>
  <si>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</si>
  <si>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</si>
  <si>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</si>
  <si>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</si>
  <si>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</si>
  <si>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</si>
  <si>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</si>
  <si>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</si>
  <si>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</si>
  <si>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</si>
  <si>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</si>
  <si>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</si>
  <si>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</si>
  <si>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</si>
  <si>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</si>
  <si>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</si>
  <si>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</si>
  <si>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</si>
  <si>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</si>
  <si>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</si>
  <si>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</si>
  <si>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</si>
  <si>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</si>
  <si>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</si>
  <si>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</si>
  <si>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</si>
  <si>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</si>
  <si>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</si>
  <si>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</si>
  <si>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</si>
  <si>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</si>
  <si>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</si>
  <si>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</si>
  <si>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</si>
  <si>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</si>
  <si>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</si>
  <si>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</si>
  <si>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</si>
  <si>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</si>
  <si>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</si>
  <si>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</si>
  <si>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</si>
  <si>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</si>
  <si>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</si>
  <si>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</si>
  <si>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</si>
  <si>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</si>
  <si>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</si>
  <si>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</si>
  <si>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</si>
  <si>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</si>
  <si>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</si>
  <si>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</si>
  <si>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</si>
  <si>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</si>
  <si>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</si>
  <si>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</si>
  <si>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</si>
  <si>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</si>
  <si>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</si>
  <si>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</si>
  <si>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</si>
  <si>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</si>
  <si>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</si>
  <si>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</si>
  <si>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</si>
  <si>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</si>
  <si>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</si>
  <si>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</si>
  <si>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</si>
  <si>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</si>
  <si>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</si>
  <si>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</si>
  <si>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</si>
  <si>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</si>
  <si>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</si>
  <si>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</si>
  <si>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</si>
  <si>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</si>
  <si>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</si>
  <si>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</si>
  <si>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</si>
  <si>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</si>
  <si>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</si>
  <si>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</si>
  <si>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</si>
  <si>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</si>
  <si>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</si>
  <si>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</si>
  <si>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</si>
  <si>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</si>
  <si>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</si>
  <si>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</si>
  <si>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</si>
  <si>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</si>
  <si>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</si>
  <si>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</si>
  <si>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</si>
  <si>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</si>
  <si>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</si>
  <si>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</si>
  <si>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</si>
  <si>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</si>
  <si>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</si>
  <si>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</si>
  <si>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</si>
  <si>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</si>
  <si>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</si>
  <si>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</si>
  <si>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</si>
  <si>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</si>
  <si>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</si>
  <si>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</si>
  <si>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</si>
  <si>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</si>
  <si>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</si>
  <si>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</si>
  <si>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</si>
  <si>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</si>
  <si>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</si>
  <si>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</si>
  <si>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</si>
  <si>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</si>
  <si>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</si>
  <si>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</si>
  <si>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</si>
  <si>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</si>
  <si>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</si>
  <si>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</si>
  <si>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</si>
  <si>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</si>
  <si>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</si>
  <si>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</si>
  <si>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</si>
  <si>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</si>
  <si>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</si>
  <si>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</si>
  <si>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</si>
  <si>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</si>
  <si>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</si>
  <si>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</si>
  <si>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</si>
  <si>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</si>
  <si>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</si>
  <si>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</si>
  <si>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</si>
  <si>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</si>
  <si>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</si>
  <si>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</si>
  <si>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</si>
  <si>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</si>
  <si>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</si>
  <si>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</si>
  <si>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</si>
  <si>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</si>
  <si>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</si>
  <si>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</si>
  <si>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</si>
  <si>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</si>
  <si>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</si>
  <si>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</si>
  <si>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</si>
  <si>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</si>
  <si>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</si>
  <si>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</si>
  <si>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</si>
  <si>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</si>
  <si>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</si>
  <si>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</si>
  <si>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</si>
  <si>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</si>
  <si>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</si>
  <si>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</si>
  <si>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</si>
  <si>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</si>
  <si>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</si>
  <si>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</si>
  <si>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</si>
  <si>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</si>
  <si>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</si>
  <si>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</si>
  <si>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</si>
  <si>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</si>
  <si>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</si>
  <si>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</si>
  <si>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</si>
  <si>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</si>
  <si>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</si>
  <si>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</si>
  <si>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</si>
  <si>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</si>
  <si>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</si>
  <si>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</si>
  <si>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</si>
  <si>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</si>
  <si>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</si>
  <si>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</si>
  <si>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</si>
  <si>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</si>
  <si>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</si>
  <si>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</si>
  <si>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</si>
  <si>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</si>
  <si>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</si>
  <si>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</si>
  <si>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</si>
  <si>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</si>
  <si>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</si>
  <si>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</si>
  <si>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</si>
  <si>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</si>
  <si>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</si>
  <si>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</si>
  <si>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</si>
  <si>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</si>
  <si>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</si>
  <si>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</si>
  <si>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</si>
  <si>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</si>
  <si>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</si>
  <si>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</si>
  <si>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</si>
  <si>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</si>
  <si>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</si>
  <si>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</si>
  <si>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</si>
  <si>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</si>
  <si>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</si>
  <si>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</si>
  <si>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</si>
  <si>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</si>
  <si>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</si>
  <si>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</si>
  <si>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</si>
  <si>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</si>
  <si>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</si>
  <si>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</si>
  <si>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</si>
  <si>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</si>
  <si>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</si>
  <si>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</si>
  <si>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</si>
  <si>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</si>
  <si>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</si>
  <si>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</si>
  <si>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</si>
  <si>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</si>
  <si>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</si>
  <si>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</si>
  <si>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</si>
  <si>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</si>
  <si>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</si>
  <si>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</si>
  <si>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</si>
  <si>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</si>
  <si>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</si>
  <si>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</si>
  <si>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</si>
  <si>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</si>
  <si>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</si>
  <si>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</si>
  <si>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</si>
  <si>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</si>
  <si>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</si>
  <si>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</si>
  <si>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</si>
  <si>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</si>
  <si>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</si>
  <si>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</si>
  <si>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</si>
  <si>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</si>
  <si>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</si>
  <si>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</si>
  <si>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</si>
  <si>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</si>
  <si>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</si>
  <si>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</si>
  <si>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</si>
  <si>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</si>
  <si>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</si>
  <si>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</si>
  <si>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</si>
  <si>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</si>
  <si>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</si>
  <si>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</si>
  <si>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</si>
  <si>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</si>
  <si>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</si>
  <si>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</si>
  <si>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</si>
  <si>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</si>
  <si>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</si>
  <si>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</si>
  <si>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</si>
  <si>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</si>
  <si>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</si>
  <si>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</si>
  <si>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</si>
  <si>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</si>
  <si>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</si>
  <si>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</si>
  <si>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</si>
  <si>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</si>
  <si>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</si>
  <si>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</si>
  <si>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</si>
  <si>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</si>
  <si>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</si>
  <si>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</si>
  <si>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</si>
  <si>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</si>
  <si>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</si>
  <si>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</si>
  <si>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</si>
  <si>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</si>
  <si>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</si>
  <si>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</si>
  <si>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</si>
  <si>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</si>
  <si>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</si>
  <si>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</si>
  <si>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</si>
  <si>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</si>
  <si>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</si>
  <si>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</si>
  <si>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</si>
  <si>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</si>
  <si>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</si>
  <si>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</si>
  <si>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</si>
  <si>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</si>
  <si>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</si>
  <si>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</si>
  <si>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</si>
  <si>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</si>
  <si>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</si>
  <si>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</si>
  <si>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</si>
  <si>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</si>
  <si>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</si>
  <si>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</si>
  <si>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</si>
  <si>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</si>
  <si>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</si>
  <si>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</si>
  <si>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</si>
  <si>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</si>
  <si>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</si>
  <si>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</si>
  <si>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</si>
  <si>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</si>
  <si>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</si>
  <si>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</si>
  <si>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</si>
  <si>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</si>
  <si>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</si>
  <si>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</si>
  <si>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</si>
  <si>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</si>
  <si>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</si>
  <si>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</si>
  <si>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</si>
  <si>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</si>
  <si>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</si>
  <si>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</si>
  <si>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</si>
  <si>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</si>
  <si>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</si>
  <si>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</si>
  <si>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</si>
  <si>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</si>
  <si>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</si>
  <si>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</si>
  <si>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</si>
  <si>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</si>
  <si>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</si>
  <si>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</si>
  <si>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</si>
  <si>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</si>
  <si>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</si>
  <si>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</si>
  <si>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</si>
  <si>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</si>
  <si>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</si>
  <si>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</si>
  <si>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</si>
  <si>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</si>
  <si>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</si>
  <si>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</si>
  <si>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</si>
  <si>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</si>
  <si>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</si>
  <si>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</si>
  <si>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</si>
  <si>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</si>
  <si>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</si>
  <si>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</si>
  <si>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</si>
  <si>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</si>
  <si>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</si>
  <si>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</si>
  <si>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</si>
  <si>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</si>
  <si>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</si>
  <si>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</si>
  <si>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</si>
  <si>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</si>
  <si>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</si>
  <si>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</si>
  <si>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</si>
  <si>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</si>
  <si>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</si>
  <si>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</si>
  <si>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</si>
  <si>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</si>
  <si>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</si>
  <si>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</si>
  <si>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</si>
  <si>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</si>
  <si>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</si>
  <si>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</si>
  <si>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</si>
  <si>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</si>
  <si>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</si>
  <si>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</si>
  <si>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</si>
  <si>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</si>
  <si>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</si>
  <si>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</si>
  <si>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</si>
  <si>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</si>
  <si>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</si>
  <si>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</si>
  <si>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</si>
  <si>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</si>
  <si>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</si>
  <si>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</si>
  <si>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</si>
  <si>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</si>
  <si>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</si>
  <si>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</si>
  <si>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</si>
  <si>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</si>
  <si>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</si>
  <si>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</si>
  <si>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</si>
  <si>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</si>
  <si>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</si>
  <si>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</si>
  <si>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</si>
  <si>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</si>
  <si>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</si>
  <si>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</si>
  <si>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</si>
  <si>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</si>
  <si>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</si>
  <si>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</si>
  <si>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</si>
  <si>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</si>
  <si>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</si>
  <si>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</si>
  <si>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</si>
  <si>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</si>
  <si>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</si>
  <si>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</si>
  <si>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</si>
  <si>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</si>
  <si>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</si>
  <si>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</si>
  <si>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</si>
  <si>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</si>
  <si>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</si>
  <si>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</si>
  <si>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</si>
  <si>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</si>
  <si>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</si>
  <si>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</si>
  <si>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</si>
  <si>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</si>
  <si>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</si>
  <si>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</si>
  <si>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</si>
  <si>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</si>
  <si>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</si>
  <si>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</si>
  <si>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</si>
  <si>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</si>
  <si>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</si>
  <si>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</si>
  <si>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</si>
  <si>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</si>
  <si>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</si>
  <si>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</si>
  <si>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</si>
  <si>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</si>
  <si>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</si>
  <si>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</si>
  <si>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</si>
  <si>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</si>
  <si>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</si>
  <si>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</si>
  <si>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</si>
  <si>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</si>
  <si>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</si>
  <si>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</si>
  <si>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</si>
  <si>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</si>
  <si>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</si>
  <si>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</si>
  <si>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</si>
  <si>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</si>
  <si>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</si>
  <si>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</si>
  <si>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</si>
  <si>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</si>
  <si>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</si>
  <si>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</si>
  <si>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</si>
  <si>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</si>
  <si>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</si>
  <si>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</si>
  <si>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</si>
  <si>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</si>
  <si>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</si>
  <si>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</si>
  <si>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</si>
  <si>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</si>
  <si>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</si>
  <si>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</si>
  <si>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</si>
  <si>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</si>
  <si>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</si>
  <si>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</si>
  <si>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</si>
  <si>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</si>
  <si>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</si>
  <si>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</si>
  <si>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</si>
  <si>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</si>
  <si>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</si>
  <si>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</si>
  <si>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</si>
  <si>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</si>
  <si>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</si>
  <si>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</si>
  <si>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</si>
  <si>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</si>
  <si>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</si>
  <si>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</si>
  <si>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</si>
  <si>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</si>
  <si>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</si>
  <si>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</si>
  <si>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</si>
  <si>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</si>
  <si>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</si>
  <si>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</si>
  <si>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</si>
  <si>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</si>
  <si>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</si>
  <si>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</si>
  <si>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</si>
  <si>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</si>
  <si>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</si>
  <si>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</si>
  <si>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</si>
  <si>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</si>
  <si>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</si>
  <si>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</si>
  <si>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</si>
  <si>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</si>
  <si>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</si>
  <si>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</si>
  <si>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</si>
  <si>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</si>
  <si>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</si>
  <si>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</si>
  <si>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</si>
  <si>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</si>
  <si>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</si>
  <si>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</si>
  <si>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</si>
  <si>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</si>
  <si>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</si>
  <si>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</si>
  <si>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</si>
  <si>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</si>
  <si>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</si>
  <si>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</si>
  <si>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</si>
  <si>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</si>
  <si>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</si>
  <si>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</si>
  <si>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</si>
  <si>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</si>
  <si>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</si>
  <si>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</si>
  <si>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</si>
  <si>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</si>
  <si>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</si>
  <si>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</si>
  <si>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</si>
  <si>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</si>
  <si>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</si>
  <si>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</si>
  <si>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</si>
  <si>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</si>
  <si>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</si>
  <si>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</si>
  <si>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</si>
  <si>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</si>
  <si>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</si>
  <si>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</si>
  <si>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</si>
  <si>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</si>
  <si>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</si>
  <si>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</si>
  <si>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</si>
  <si>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</si>
  <si>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</si>
  <si>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</si>
  <si>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</si>
  <si>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</si>
  <si>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</si>
  <si>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</si>
  <si>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</si>
  <si>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</si>
  <si>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</si>
  <si>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</si>
  <si>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</si>
  <si>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</si>
  <si>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</si>
  <si>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</si>
  <si>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</si>
  <si>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</si>
  <si>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</si>
  <si>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</si>
  <si>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</si>
  <si>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</si>
  <si>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</si>
  <si>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</si>
  <si>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</si>
  <si>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</si>
  <si>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</si>
  <si>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</si>
  <si>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</si>
  <si>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</si>
  <si>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</si>
  <si>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</si>
  <si>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</si>
  <si>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</si>
  <si>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</si>
  <si>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</si>
  <si>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</si>
  <si>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</si>
  <si>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</si>
  <si>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</si>
  <si>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</si>
  <si>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</si>
  <si>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</si>
  <si>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</si>
  <si>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</si>
  <si>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</si>
  <si>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</si>
  <si>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</si>
  <si>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</si>
  <si>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</si>
  <si>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</si>
  <si>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</si>
  <si>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</si>
  <si>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</si>
  <si>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</si>
  <si>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</si>
  <si>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</si>
  <si>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</si>
  <si>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</si>
  <si>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</si>
  <si>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</si>
  <si>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</si>
  <si>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</si>
  <si>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</si>
  <si>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</si>
  <si>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</si>
  <si>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</si>
  <si>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</si>
  <si>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</si>
  <si>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</si>
  <si>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</si>
  <si>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</si>
  <si>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</si>
  <si>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</si>
  <si>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</si>
  <si>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</si>
  <si>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</si>
  <si>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</si>
  <si>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</si>
  <si>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</si>
  <si>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</si>
  <si>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</si>
  <si>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</si>
  <si>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</si>
  <si>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</si>
  <si>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</si>
  <si>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</si>
  <si>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</si>
  <si>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</si>
  <si>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</si>
  <si>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</si>
  <si>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</si>
  <si>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</si>
  <si>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</si>
  <si>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</si>
  <si>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</si>
  <si>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</si>
  <si>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</si>
  <si>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</si>
  <si>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</si>
  <si>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</si>
  <si>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</si>
  <si>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</si>
  <si>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</si>
  <si>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</si>
  <si>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</si>
  <si>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</si>
  <si>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</si>
  <si>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</si>
  <si>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</si>
  <si>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</si>
  <si>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</si>
  <si>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</si>
  <si>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</si>
  <si>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</si>
  <si>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</si>
  <si>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</si>
  <si>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</si>
  <si>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</si>
  <si>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</si>
  <si>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</si>
  <si>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</si>
  <si>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</si>
  <si>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</si>
  <si>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</si>
  <si>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</si>
  <si>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</si>
  <si>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</si>
  <si>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</si>
  <si>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</si>
  <si>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</si>
  <si>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</si>
  <si>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</si>
  <si>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</si>
  <si>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</si>
  <si>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</si>
  <si>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</si>
  <si>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</si>
  <si>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</si>
  <si>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</si>
  <si>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</si>
  <si>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</si>
  <si>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</si>
  <si>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</si>
  <si>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</si>
  <si>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</si>
  <si>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</si>
  <si>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</si>
  <si>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</si>
  <si>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</si>
  <si>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</si>
  <si>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</si>
  <si>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</si>
  <si>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</si>
  <si>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</si>
  <si>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</si>
  <si>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</si>
  <si>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</si>
  <si>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</si>
  <si>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</si>
  <si>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</si>
  <si>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</si>
  <si>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</si>
  <si>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</si>
  <si>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</si>
  <si>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</si>
  <si>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</si>
  <si>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</si>
  <si>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</si>
  <si>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</si>
  <si>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</si>
  <si>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</si>
  <si>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</si>
  <si>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</si>
  <si>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</si>
  <si>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</si>
  <si>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</si>
  <si>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</si>
  <si>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</si>
  <si>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</si>
  <si>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</si>
  <si>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</si>
  <si>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</si>
  <si>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</si>
  <si>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</si>
  <si>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</si>
  <si>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</si>
  <si>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</si>
  <si>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</si>
  <si>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</si>
  <si>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</si>
  <si>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</si>
  <si>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</si>
  <si>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</si>
  <si>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</si>
  <si>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</si>
  <si>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</si>
  <si>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</si>
  <si>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</si>
  <si>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</si>
  <si>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</si>
  <si>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</si>
  <si>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</si>
  <si>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</si>
  <si>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</si>
  <si>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</si>
  <si>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</si>
  <si>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</si>
  <si>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</si>
  <si>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</si>
  <si>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</si>
  <si>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</si>
  <si>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</si>
  <si>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</si>
  <si>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</si>
  <si>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</si>
  <si>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</si>
  <si>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</si>
  <si>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</si>
  <si>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</si>
  <si>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</si>
  <si>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</si>
  <si>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</si>
  <si>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</si>
  <si>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</si>
  <si>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</si>
  <si>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</si>
  <si>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</si>
  <si>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</si>
  <si>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</si>
  <si>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</si>
  <si>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</si>
  <si>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</si>
  <si>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</si>
  <si>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</si>
  <si>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</si>
  <si>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</si>
  <si>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</si>
  <si>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</si>
  <si>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</si>
  <si>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</si>
  <si>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</si>
  <si>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</si>
  <si>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</si>
  <si>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</si>
  <si>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</si>
  <si>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</si>
  <si>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</si>
  <si>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</si>
  <si>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</si>
  <si>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</si>
  <si>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</si>
  <si>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</si>
  <si>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</si>
  <si>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</si>
  <si>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</si>
  <si>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</si>
  <si>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</si>
  <si>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</si>
  <si>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</si>
  <si>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</si>
  <si>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</si>
  <si>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</si>
  <si>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</si>
  <si>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</si>
  <si>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</si>
  <si>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</si>
  <si>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</si>
  <si>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</si>
  <si>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</si>
  <si>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</si>
  <si>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</si>
  <si>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</si>
  <si>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</si>
  <si>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</si>
  <si>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</si>
  <si>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</si>
  <si>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</si>
  <si>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</si>
  <si>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</si>
  <si>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</si>
  <si>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</si>
  <si>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</si>
  <si>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</si>
  <si>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</si>
  <si>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</si>
  <si>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</si>
  <si>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</si>
  <si>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</si>
  <si>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</si>
  <si>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</si>
  <si>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</si>
  <si>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</si>
  <si>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</si>
  <si>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</si>
  <si>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</si>
  <si>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</si>
  <si>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</si>
  <si>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</si>
  <si>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</si>
  <si>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</si>
  <si>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</si>
  <si>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</si>
  <si>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</si>
  <si>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</si>
  <si>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</si>
  <si>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</si>
  <si>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</si>
  <si>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</si>
  <si>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</si>
  <si>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</si>
  <si>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</si>
  <si>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</si>
  <si>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</si>
  <si>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</si>
  <si>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</si>
  <si>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</si>
  <si>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</si>
  <si>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</si>
  <si>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</si>
  <si>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</si>
  <si>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</si>
  <si>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</si>
  <si>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</si>
  <si>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</si>
  <si>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</si>
  <si>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</si>
  <si>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</si>
  <si>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</si>
  <si>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</si>
  <si>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</si>
  <si>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</si>
  <si>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</si>
  <si>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</si>
  <si>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</si>
  <si>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</si>
  <si>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</si>
  <si>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</si>
  <si>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</si>
  <si>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</si>
  <si>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</si>
  <si>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</si>
  <si>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</si>
  <si>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</si>
  <si>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</si>
  <si>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</si>
  <si>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</si>
  <si>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</si>
  <si>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</si>
  <si>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</si>
  <si>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</si>
  <si>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</si>
  <si>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</si>
  <si>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</si>
  <si>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</si>
  <si>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</si>
  <si>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</si>
  <si>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</si>
  <si>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</si>
  <si>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</si>
  <si>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</si>
  <si>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</si>
  <si>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</si>
  <si>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</si>
  <si>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</si>
  <si>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</si>
  <si>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</si>
  <si>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</si>
  <si>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</si>
  <si>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</si>
  <si>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</si>
  <si>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</si>
  <si>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</si>
  <si>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</si>
  <si>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</si>
  <si>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</si>
  <si>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</si>
  <si>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</si>
  <si>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</si>
  <si>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</si>
  <si>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</si>
  <si>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</si>
  <si>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</si>
  <si>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</si>
  <si>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</si>
  <si>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</si>
  <si>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</si>
  <si>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</si>
  <si>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</si>
  <si>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</si>
  <si>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</si>
  <si>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</si>
  <si>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</si>
  <si>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</si>
  <si>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</si>
  <si>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</si>
  <si>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</si>
  <si>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</si>
  <si>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</si>
  <si>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</si>
  <si>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</si>
  <si>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</si>
  <si>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</si>
  <si>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</si>
  <si>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</si>
  <si>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</si>
  <si>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</si>
  <si>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</si>
  <si>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</si>
  <si>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</si>
  <si>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</si>
  <si>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</si>
  <si>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</si>
  <si>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</si>
  <si>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</si>
  <si>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</si>
  <si>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</si>
  <si>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</si>
  <si>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</si>
  <si>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</si>
  <si>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</si>
  <si>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</si>
  <si>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</si>
  <si>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</si>
  <si>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</si>
  <si>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</si>
  <si>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</si>
  <si>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</si>
  <si>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</si>
  <si>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</si>
  <si>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</si>
  <si>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</si>
  <si>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</si>
  <si>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</si>
  <si>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</si>
  <si>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</si>
  <si>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</si>
  <si>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</si>
  <si>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</si>
  <si>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</si>
  <si>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</si>
  <si>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</si>
  <si>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</si>
  <si>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</si>
  <si>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</si>
  <si>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</si>
  <si>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</si>
  <si>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</si>
  <si>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</si>
  <si>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</si>
  <si>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</si>
  <si>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</si>
  <si>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</si>
  <si>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</si>
  <si>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</si>
  <si>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</si>
  <si>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</si>
  <si>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</si>
  <si>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</si>
  <si>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</si>
  <si>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</si>
  <si>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</si>
  <si>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</si>
  <si>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</si>
  <si>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</si>
  <si>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</si>
  <si>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</si>
  <si>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</si>
  <si>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</si>
  <si>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</si>
  <si>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</si>
  <si>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</si>
  <si>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</si>
  <si>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</si>
  <si>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</si>
  <si>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</si>
  <si>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</si>
  <si>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</si>
  <si>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</si>
  <si>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</si>
  <si>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</si>
  <si>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</si>
  <si>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</si>
  <si>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</si>
  <si>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</si>
  <si>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</si>
  <si>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</si>
  <si>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</si>
  <si>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</si>
  <si>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</si>
  <si>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</si>
  <si>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</si>
  <si>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</si>
  <si>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</si>
  <si>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</si>
  <si>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</si>
  <si>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</si>
  <si>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</si>
  <si>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</si>
  <si>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</si>
  <si>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</si>
  <si>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</si>
  <si>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</si>
  <si>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</si>
  <si>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</si>
  <si>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</si>
  <si>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</si>
  <si>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</si>
  <si>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</si>
  <si>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</si>
  <si>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</si>
  <si>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</si>
  <si>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</si>
  <si>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</si>
  <si>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</si>
  <si>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</si>
  <si>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</si>
  <si>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</si>
  <si>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</si>
  <si>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</si>
  <si>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</si>
  <si>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</si>
  <si>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</si>
  <si>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</si>
  <si>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</si>
  <si>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</si>
  <si>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</si>
  <si>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</si>
  <si>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</si>
  <si>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</si>
  <si>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</si>
  <si>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</si>
  <si>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</si>
  <si>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</si>
  <si>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</si>
  <si>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</si>
  <si>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</si>
  <si>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</si>
  <si>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</si>
  <si>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</si>
  <si>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</si>
  <si>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</si>
  <si>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</si>
  <si>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</si>
  <si>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</si>
  <si>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</si>
  <si>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</si>
  <si>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</si>
  <si>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</si>
  <si>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</si>
  <si>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</si>
  <si>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</si>
  <si>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</si>
  <si>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</si>
  <si>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</si>
  <si>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</si>
  <si>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</si>
  <si>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</si>
  <si>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</si>
  <si>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</si>
  <si>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</si>
  <si>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</si>
  <si>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</si>
  <si>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</si>
  <si>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</si>
  <si>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</si>
  <si>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</si>
  <si>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</si>
  <si>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</si>
  <si>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</si>
  <si>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</si>
  <si>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</si>
  <si>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</si>
  <si>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</si>
  <si>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</si>
  <si>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</si>
  <si>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</si>
  <si>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</si>
  <si>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</si>
  <si>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</si>
  <si>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</si>
  <si>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</si>
  <si>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</si>
  <si>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</si>
  <si>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</si>
  <si>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</si>
  <si>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</si>
  <si>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</si>
  <si>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</si>
  <si>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</si>
  <si>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</si>
  <si>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</si>
  <si>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</si>
  <si>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</si>
  <si>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</si>
  <si>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</si>
  <si>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</si>
  <si>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</si>
  <si>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</si>
  <si>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</si>
  <si>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</si>
  <si>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</si>
  <si>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</si>
  <si>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</si>
  <si>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</si>
  <si>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</si>
  <si>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</si>
  <si>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</si>
  <si>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</si>
  <si>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</si>
  <si>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</si>
  <si>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</si>
  <si>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</si>
  <si>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</si>
  <si>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</si>
  <si>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</si>
  <si>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</si>
  <si>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</si>
  <si>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</si>
  <si>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</si>
  <si>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</si>
  <si>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</si>
  <si>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</si>
  <si>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</si>
  <si>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</si>
  <si>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</si>
  <si>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</si>
  <si>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</si>
  <si>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</si>
  <si>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</si>
  <si>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</si>
  <si>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</si>
  <si>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</si>
  <si>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</si>
  <si>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</si>
  <si>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</si>
  <si>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</si>
  <si>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</si>
  <si>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</si>
  <si>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</si>
  <si>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</si>
  <si>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</si>
  <si>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</si>
  <si>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</si>
  <si>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</si>
  <si>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</si>
  <si>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</si>
  <si>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</si>
  <si>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</si>
  <si>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</si>
  <si>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</si>
  <si>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</si>
  <si>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</si>
  <si>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</si>
  <si>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</si>
  <si>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</si>
  <si>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</si>
  <si>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</si>
  <si>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</si>
  <si>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</si>
  <si>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</si>
  <si>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</si>
  <si>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</si>
  <si>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</si>
  <si>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</si>
  <si>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</si>
  <si>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</si>
  <si>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</si>
  <si>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</si>
  <si>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</si>
  <si>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</si>
  <si>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</si>
  <si>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</si>
  <si>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</si>
  <si>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</si>
  <si>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</si>
  <si>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</si>
  <si>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</si>
  <si>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</si>
  <si>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</si>
  <si>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</si>
  <si>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</si>
  <si>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</si>
  <si>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</si>
  <si>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</si>
  <si>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</si>
  <si>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</si>
  <si>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</si>
  <si>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</si>
  <si>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</si>
  <si>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</si>
  <si>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</si>
  <si>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</si>
  <si>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</si>
  <si>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</si>
  <si>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</si>
  <si>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</si>
  <si>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</si>
  <si>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</si>
  <si>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</si>
  <si>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</si>
  <si>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</si>
  <si>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</si>
  <si>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</si>
  <si>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</si>
  <si>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</si>
  <si>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</si>
  <si>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</si>
  <si>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</si>
  <si>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</si>
  <si>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</si>
  <si>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</si>
  <si>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</si>
  <si>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</si>
  <si>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</si>
  <si>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</si>
  <si>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</si>
  <si>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</si>
  <si>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</si>
  <si>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</si>
  <si>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</si>
  <si>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</si>
  <si>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</si>
  <si>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</si>
  <si>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</si>
  <si>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</si>
  <si>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</si>
  <si>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</si>
  <si>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</si>
  <si>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</si>
  <si>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</si>
  <si>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</si>
  <si>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</si>
  <si>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</si>
  <si>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</si>
  <si>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</si>
  <si>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</si>
  <si>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</si>
  <si>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</si>
  <si>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</si>
  <si>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</si>
  <si>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</si>
  <si>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</si>
  <si>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</si>
  <si>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</si>
  <si>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</si>
  <si>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</si>
  <si>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</si>
  <si>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</si>
  <si>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</si>
  <si>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</si>
  <si>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</si>
  <si>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</si>
  <si>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</si>
  <si>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</si>
  <si>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</si>
  <si>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</si>
  <si>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</si>
  <si>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</si>
  <si>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</si>
  <si>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</si>
  <si>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</si>
  <si>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</si>
  <si>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</si>
  <si>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</si>
  <si>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</si>
  <si>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</si>
  <si>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</si>
  <si>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</si>
  <si>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</si>
  <si>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</si>
  <si>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</si>
  <si>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</si>
  <si>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</si>
  <si>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</si>
  <si>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</si>
  <si>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</si>
  <si>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</si>
  <si>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</si>
  <si>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</si>
  <si>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</si>
  <si>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</si>
  <si>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</si>
  <si>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</si>
  <si>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</si>
  <si>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</si>
  <si>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</si>
  <si>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</si>
  <si>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</si>
  <si>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</si>
  <si>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</si>
  <si>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</si>
  <si>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</si>
  <si>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</si>
  <si>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</si>
  <si>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</si>
  <si>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</si>
  <si>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</si>
  <si>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</si>
  <si>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</si>
  <si>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</si>
  <si>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</si>
  <si>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</si>
  <si>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</si>
  <si>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</si>
  <si>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</si>
  <si>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</si>
  <si>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</si>
  <si>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</si>
  <si>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</si>
  <si>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</si>
  <si>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</si>
  <si>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</si>
  <si>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</si>
  <si>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</si>
  <si>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</si>
  <si>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</si>
  <si>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</si>
  <si>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</si>
  <si>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</si>
  <si>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</si>
  <si>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</si>
  <si>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</si>
  <si>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</si>
  <si>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</si>
  <si>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</si>
  <si>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</si>
  <si>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</si>
  <si>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</si>
  <si>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</si>
  <si>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</si>
  <si>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</si>
  <si>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</si>
  <si>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</si>
  <si>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</si>
  <si>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</si>
  <si>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</si>
  <si>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</si>
  <si>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</si>
  <si>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</si>
  <si>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</si>
  <si>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</si>
  <si>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</si>
  <si>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</si>
  <si>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</si>
  <si>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</si>
  <si>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</si>
  <si>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</si>
  <si>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</si>
  <si>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</si>
  <si>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</si>
  <si>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</si>
  <si>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</si>
  <si>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</si>
  <si>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</si>
  <si>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</si>
  <si>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</si>
  <si>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</si>
  <si>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</si>
  <si>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</si>
  <si>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</si>
  <si>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</si>
  <si>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</si>
  <si>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</si>
  <si>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</si>
  <si>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</si>
  <si>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</si>
  <si>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</si>
  <si>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</si>
  <si>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</si>
  <si>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</si>
  <si>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</si>
  <si>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</si>
  <si>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</si>
  <si>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</si>
  <si>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</si>
  <si>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</si>
  <si>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</si>
  <si>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</si>
  <si>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</si>
  <si>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</si>
  <si>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</si>
  <si>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</si>
  <si>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</si>
  <si>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</si>
  <si>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</si>
  <si>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</si>
  <si>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</si>
  <si>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</si>
  <si>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</si>
  <si>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</si>
  <si>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</si>
  <si>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</si>
  <si>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</si>
  <si>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</si>
  <si>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</si>
  <si>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</si>
  <si>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</si>
  <si>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</si>
  <si>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</si>
  <si>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</si>
  <si>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</si>
  <si>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</si>
  <si>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</si>
  <si>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</si>
  <si>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</si>
  <si>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</si>
  <si>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</si>
  <si>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</si>
  <si>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</si>
  <si>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</si>
  <si>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</si>
  <si>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</si>
  <si>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</si>
  <si>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</si>
  <si>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</si>
  <si>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</si>
  <si>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</si>
  <si>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</si>
  <si>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</si>
  <si>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</si>
  <si>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</si>
  <si>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</si>
  <si>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</si>
  <si>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</si>
  <si>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</si>
  <si>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</si>
  <si>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</si>
  <si>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</si>
  <si>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</si>
  <si>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</si>
  <si>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</si>
  <si>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</si>
  <si>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</si>
  <si>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</si>
  <si>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</si>
  <si>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</si>
  <si>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</si>
  <si>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</si>
  <si>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</si>
  <si>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</si>
  <si>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</si>
  <si>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</si>
  <si>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</si>
  <si>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</si>
  <si>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</si>
  <si>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</si>
  <si>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</si>
  <si>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</si>
  <si>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</si>
  <si>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</si>
  <si>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</si>
  <si>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</si>
  <si>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</si>
  <si>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</si>
  <si>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</si>
  <si>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</si>
  <si>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</si>
  <si>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</si>
  <si>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</si>
  <si>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</si>
  <si>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</si>
  <si>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</si>
  <si>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</si>
  <si>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</si>
  <si>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</si>
  <si>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</si>
  <si>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</si>
  <si>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</si>
  <si>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</si>
  <si>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</si>
  <si>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</si>
  <si>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</si>
  <si>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</si>
  <si>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</si>
  <si>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</si>
  <si>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</si>
  <si>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</si>
  <si>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</si>
  <si>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</si>
  <si>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</si>
  <si>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</si>
  <si>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</si>
  <si>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</si>
  <si>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</si>
  <si>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</si>
  <si>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</si>
  <si>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</si>
  <si>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</si>
  <si>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</si>
  <si>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</si>
  <si>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</si>
  <si>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</si>
  <si>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</si>
  <si>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</si>
  <si>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</si>
  <si>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</si>
  <si>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</si>
  <si>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</si>
  <si>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</si>
  <si>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</si>
  <si>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</si>
  <si>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</si>
  <si>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</si>
  <si>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</si>
  <si>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</si>
  <si>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</si>
  <si>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</si>
  <si>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</si>
  <si>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</si>
  <si>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</si>
  <si>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</si>
  <si>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</si>
  <si>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</si>
  <si>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</si>
  <si>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</si>
  <si>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</si>
  <si>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</si>
  <si>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</si>
  <si>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</si>
  <si>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</si>
  <si>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</si>
  <si>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</si>
  <si>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</si>
  <si>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</si>
  <si>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</si>
  <si>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</si>
  <si>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</si>
  <si>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</si>
  <si>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</si>
  <si>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</si>
  <si>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</si>
  <si>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</si>
  <si>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</si>
  <si>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</si>
  <si>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</si>
  <si>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</si>
  <si>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</si>
  <si>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</si>
  <si>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</si>
  <si>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</si>
  <si>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</si>
  <si>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</si>
  <si>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</si>
  <si>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</si>
  <si>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</si>
  <si>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</si>
  <si>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</si>
  <si>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</si>
  <si>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</si>
  <si>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</si>
  <si>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</si>
  <si>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</si>
  <si>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</si>
  <si>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</si>
  <si>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</si>
  <si>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</si>
  <si>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</si>
  <si>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</si>
  <si>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</si>
  <si>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</si>
  <si>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</si>
  <si>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</si>
  <si>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</si>
  <si>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</si>
  <si>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</si>
  <si>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</si>
  <si>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</si>
  <si>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</si>
  <si>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</si>
  <si>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</si>
  <si>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</si>
  <si>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</si>
  <si>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</si>
  <si>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</si>
  <si>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</si>
  <si>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</si>
  <si>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</si>
  <si>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</si>
  <si>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</si>
  <si>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</si>
  <si>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</si>
  <si>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</si>
  <si>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</si>
  <si>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</si>
  <si>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</si>
  <si>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</si>
  <si>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</si>
  <si>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</si>
  <si>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</si>
  <si>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</si>
  <si>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</si>
  <si>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</si>
  <si>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</si>
  <si>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</si>
  <si>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</si>
  <si>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</si>
  <si>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</si>
  <si>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</si>
  <si>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</si>
  <si>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</si>
  <si>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</si>
  <si>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</si>
  <si>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</si>
  <si>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</si>
  <si>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</si>
  <si>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</si>
  <si>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</si>
  <si>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</si>
  <si>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</si>
  <si>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</si>
  <si>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</si>
  <si>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</si>
  <si>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</si>
  <si>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</si>
  <si>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</si>
  <si>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</si>
  <si>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</si>
  <si>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</si>
  <si>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</si>
  <si>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</si>
  <si>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</si>
  <si>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</si>
  <si>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</si>
  <si>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</si>
  <si>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</si>
  <si>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</si>
  <si>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</si>
  <si>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</si>
  <si>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</si>
  <si>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</si>
  <si>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</si>
  <si>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</si>
  <si>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</si>
  <si>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</si>
  <si>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</si>
  <si>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</si>
  <si>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</si>
  <si>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</si>
  <si>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</si>
  <si>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</si>
  <si>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</si>
  <si>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</si>
  <si>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</si>
  <si>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</si>
  <si>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</si>
  <si>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</si>
  <si>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</si>
  <si>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</si>
  <si>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</si>
  <si>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</si>
  <si>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</si>
  <si>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</si>
  <si>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</si>
  <si>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</si>
  <si>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</si>
  <si>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</si>
  <si>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</si>
  <si>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</si>
  <si>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</si>
  <si>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</si>
  <si>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</si>
  <si>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</si>
  <si>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</si>
  <si>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</si>
  <si>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</si>
  <si>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</si>
  <si>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</si>
  <si>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</si>
  <si>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</si>
  <si>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</si>
  <si>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</si>
  <si>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</si>
  <si>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</si>
  <si>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</si>
  <si>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</si>
  <si>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</si>
  <si>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</si>
  <si>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</si>
  <si>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</si>
  <si>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</si>
  <si>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</si>
  <si>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</si>
  <si>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</si>
  <si>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</si>
  <si>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</si>
  <si>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</si>
  <si>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</si>
  <si>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</si>
  <si>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</si>
  <si>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</si>
  <si>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</si>
  <si>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</si>
  <si>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</si>
  <si>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</si>
  <si>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</si>
  <si>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</si>
  <si>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</si>
  <si>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</si>
  <si>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</si>
  <si>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</si>
  <si>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</si>
  <si>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</si>
  <si>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</si>
  <si>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</si>
  <si>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</si>
  <si>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</si>
  <si>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</si>
  <si>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</si>
  <si>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</si>
  <si>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</si>
  <si>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</si>
  <si>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</si>
  <si>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</si>
  <si>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</si>
  <si>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</si>
  <si>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</si>
  <si>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</si>
  <si>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</si>
  <si>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</si>
  <si>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</si>
  <si>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</si>
  <si>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</si>
  <si>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</si>
  <si>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</si>
  <si>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</si>
  <si>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</si>
  <si>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</si>
  <si>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</si>
  <si>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</si>
  <si>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</si>
  <si>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</si>
  <si>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</si>
  <si>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</si>
  <si>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</si>
  <si>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</si>
  <si>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</si>
  <si>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</si>
  <si>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</si>
  <si>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</si>
  <si>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</si>
  <si>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</si>
  <si>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</si>
  <si>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</si>
  <si>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</si>
  <si>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</si>
  <si>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</si>
  <si>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</si>
  <si>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</si>
  <si>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</si>
  <si>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</si>
  <si>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</si>
  <si>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</si>
  <si>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</si>
  <si>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</si>
  <si>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</si>
  <si>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</si>
  <si>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</si>
  <si>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</si>
  <si>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</si>
  <si>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</si>
  <si>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</si>
  <si>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</si>
  <si>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</si>
  <si>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</si>
  <si>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</si>
  <si>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</si>
  <si>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</si>
  <si>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</si>
  <si>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</si>
  <si>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</si>
  <si>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</si>
  <si>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</si>
  <si>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</si>
  <si>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</si>
  <si>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</si>
  <si>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</si>
  <si>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</si>
  <si>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</si>
  <si>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</si>
  <si>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</si>
  <si>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</si>
  <si>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</si>
  <si>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</si>
  <si>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</si>
  <si>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</si>
  <si>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</si>
  <si>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</si>
  <si>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</si>
  <si>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</si>
  <si>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</si>
  <si>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</si>
  <si>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</si>
  <si>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</si>
  <si>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</si>
  <si>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</si>
  <si>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</si>
  <si>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</si>
  <si>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</si>
  <si>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</si>
  <si>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</si>
  <si>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</si>
  <si>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</si>
  <si>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</si>
  <si>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</si>
  <si>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</si>
  <si>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</si>
  <si>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</si>
  <si>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</si>
  <si>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</si>
  <si>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</si>
  <si>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</si>
  <si>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</si>
  <si>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</si>
  <si>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</si>
  <si>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</si>
  <si>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</si>
  <si>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</si>
  <si>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</si>
  <si>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</si>
  <si>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</si>
  <si>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</si>
  <si>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</si>
  <si>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</si>
  <si>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</si>
  <si>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</si>
  <si>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</si>
  <si>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</si>
  <si>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</si>
  <si>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</si>
  <si>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</si>
  <si>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</si>
  <si>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</si>
  <si>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</si>
  <si>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</si>
  <si>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</si>
  <si>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</si>
  <si>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</si>
  <si>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</si>
  <si>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</si>
  <si>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</si>
  <si>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</si>
  <si>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</si>
  <si>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</si>
  <si>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</si>
  <si>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</si>
  <si>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</si>
  <si>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</si>
  <si>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</si>
  <si>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</si>
  <si>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</si>
  <si>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</si>
  <si>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</si>
  <si>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</si>
  <si>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</si>
  <si>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</si>
  <si>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</si>
  <si>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</si>
  <si>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</si>
  <si>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</si>
  <si>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</si>
  <si>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</si>
  <si>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</si>
  <si>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</si>
  <si>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</si>
  <si>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</si>
  <si>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</si>
  <si>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</si>
  <si>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</si>
  <si>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</si>
  <si>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</si>
  <si>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</si>
  <si>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</si>
  <si>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</si>
  <si>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</si>
  <si>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</si>
  <si>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</si>
  <si>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</si>
  <si>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</si>
  <si>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</si>
  <si>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</si>
  <si>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</si>
  <si>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</si>
  <si>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</si>
  <si>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</si>
  <si>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</si>
  <si>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</si>
  <si>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</si>
  <si>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</si>
  <si>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</si>
  <si>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</si>
  <si>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</si>
  <si>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</si>
  <si>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</si>
  <si>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</si>
  <si>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</si>
  <si>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</si>
  <si>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</si>
  <si>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</si>
  <si>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</si>
  <si>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</si>
  <si>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</si>
  <si>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</si>
  <si>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</si>
  <si>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</si>
  <si>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</si>
  <si>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</si>
  <si>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</si>
  <si>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</si>
  <si>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</si>
  <si>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</si>
  <si>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</si>
  <si>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</si>
  <si>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</si>
  <si>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</si>
  <si>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</si>
  <si>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</si>
  <si>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</si>
  <si>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</si>
  <si>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</si>
  <si>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</si>
  <si>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</si>
  <si>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</si>
  <si>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</si>
  <si>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</si>
  <si>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</si>
  <si>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</si>
  <si>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</si>
  <si>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</si>
  <si>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</si>
  <si>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</si>
  <si>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</si>
  <si>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</si>
  <si>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</si>
  <si>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</si>
  <si>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</si>
  <si>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</si>
  <si>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</si>
  <si>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</si>
  <si>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</si>
  <si>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</si>
  <si>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</si>
  <si>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</si>
  <si>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</si>
  <si>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</si>
  <si>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</si>
  <si>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</si>
  <si>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</si>
  <si>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</si>
  <si>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</si>
  <si>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</si>
  <si>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</si>
  <si>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</si>
  <si>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</si>
  <si>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</si>
  <si>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</si>
  <si>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</si>
  <si>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</si>
  <si>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</si>
  <si>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</si>
  <si>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</si>
  <si>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</si>
  <si>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</si>
  <si>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</si>
  <si>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</si>
  <si>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</si>
  <si>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</si>
  <si>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</si>
  <si>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</si>
  <si>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</si>
  <si>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</si>
  <si>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</si>
  <si>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</si>
  <si>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</si>
  <si>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</si>
  <si>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</si>
  <si>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</si>
  <si>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</si>
  <si>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</si>
  <si>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</si>
  <si>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</si>
  <si>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</si>
  <si>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</si>
  <si>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</si>
  <si>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</si>
  <si>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</si>
  <si>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</si>
  <si>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</si>
  <si>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</si>
  <si>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</si>
  <si>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</si>
  <si>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</si>
  <si>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</si>
  <si>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</si>
  <si>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</si>
  <si>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</si>
  <si>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</si>
  <si>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</si>
  <si>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</si>
  <si>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</si>
  <si>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</si>
  <si>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</si>
  <si>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</si>
  <si>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</si>
  <si>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</si>
  <si>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</si>
  <si>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</si>
  <si>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</si>
  <si>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</si>
  <si>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</si>
  <si>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</si>
  <si>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</si>
  <si>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</si>
  <si>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</si>
  <si>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</si>
  <si>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</si>
  <si>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</si>
  <si>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</si>
  <si>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</si>
  <si>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</si>
  <si>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</si>
  <si>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</si>
  <si>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</si>
  <si>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</si>
  <si>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</si>
  <si>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</si>
  <si>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</si>
  <si>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</si>
  <si>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</si>
  <si>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</si>
  <si>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</si>
  <si>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</si>
  <si>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</si>
  <si>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</si>
  <si>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</si>
  <si>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</si>
  <si>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</si>
  <si>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</si>
  <si>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</si>
  <si>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</si>
  <si>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</si>
  <si>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</si>
  <si>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</si>
  <si>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</si>
  <si>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</si>
  <si>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</si>
  <si>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</si>
  <si>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</si>
  <si>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</si>
  <si>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</si>
  <si>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</si>
  <si>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</si>
  <si>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</si>
  <si>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</si>
  <si>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</si>
  <si>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</si>
  <si>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</si>
  <si>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</si>
  <si>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</si>
  <si>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</si>
  <si>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</si>
  <si>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</si>
  <si>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</si>
  <si>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</si>
  <si>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</si>
  <si>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</si>
  <si>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</si>
  <si>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</si>
  <si>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</si>
  <si>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</si>
  <si>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</si>
  <si>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</si>
  <si>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</si>
  <si>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</si>
  <si>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</si>
  <si>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</si>
  <si>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</si>
  <si>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</si>
  <si>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</si>
  <si>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</si>
  <si>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</si>
  <si>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</si>
  <si>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</si>
  <si>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</si>
  <si>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</si>
  <si>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</si>
  <si>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</si>
  <si>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</si>
  <si>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</si>
  <si>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</si>
  <si>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</si>
  <si>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</si>
  <si>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</si>
  <si>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</si>
  <si>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</si>
  <si>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</si>
  <si>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</si>
  <si>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</si>
  <si>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</si>
  <si>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</si>
  <si>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</si>
  <si>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</si>
  <si>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</si>
  <si>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</si>
  <si>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</si>
  <si>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</si>
  <si>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</si>
  <si>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</si>
  <si>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</si>
  <si>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</si>
  <si>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</si>
  <si>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</si>
  <si>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</si>
  <si>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</si>
  <si>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</si>
  <si>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</si>
  <si>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</si>
  <si>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</si>
  <si>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</si>
  <si>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</si>
  <si>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</si>
  <si>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</si>
  <si>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</si>
  <si>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</si>
  <si>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</si>
  <si>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</si>
  <si>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</si>
  <si>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</si>
  <si>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</si>
  <si>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</si>
  <si>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</si>
  <si>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</si>
  <si>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</si>
  <si>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</si>
  <si>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</si>
  <si>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</si>
  <si>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</si>
  <si>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</si>
  <si>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</si>
  <si>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</si>
  <si>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</si>
  <si>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</si>
  <si>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</si>
  <si>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</si>
  <si>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</si>
  <si>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</si>
  <si>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</si>
  <si>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</si>
  <si>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</si>
  <si>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</si>
  <si>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</si>
  <si>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</si>
  <si>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</si>
  <si>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</si>
  <si>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</si>
  <si>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</si>
  <si>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</si>
  <si>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</si>
  <si>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</si>
  <si>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</si>
  <si>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</si>
  <si>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</si>
  <si>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</si>
  <si>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</si>
  <si>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</si>
  <si>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</si>
  <si>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</si>
  <si>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</si>
  <si>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</si>
  <si>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</si>
  <si>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</si>
  <si>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</si>
  <si>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</si>
  <si>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</si>
  <si>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</si>
  <si>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</si>
  <si>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</si>
  <si>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</si>
  <si>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</si>
  <si>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</si>
  <si>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</si>
  <si>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</si>
  <si>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</si>
  <si>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</si>
  <si>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</si>
  <si>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</si>
  <si>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</si>
  <si>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</si>
  <si>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</si>
  <si>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</si>
  <si>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</si>
  <si>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</si>
  <si>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</si>
  <si>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</si>
  <si>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</si>
  <si>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</si>
  <si>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</si>
  <si>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</si>
  <si>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</si>
  <si>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</si>
  <si>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</si>
  <si>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</si>
  <si>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</si>
  <si>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</si>
  <si>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</si>
  <si>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</si>
  <si>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</si>
  <si>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</si>
  <si>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</si>
  <si>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</si>
  <si>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</si>
  <si>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</si>
  <si>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</si>
  <si>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</si>
  <si>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</si>
  <si>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</si>
  <si>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</si>
  <si>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</si>
  <si>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</si>
  <si>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</si>
  <si>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</si>
  <si>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</si>
  <si>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</si>
  <si>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</si>
  <si>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</si>
  <si>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</si>
  <si>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</si>
  <si>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</si>
  <si>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</si>
  <si>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</si>
  <si>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</si>
  <si>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</si>
  <si>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</si>
  <si>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</si>
  <si>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</si>
  <si>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</si>
  <si>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</si>
  <si>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</si>
  <si>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</si>
  <si>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</si>
  <si>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</si>
  <si>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</si>
  <si>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</si>
  <si>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</si>
  <si>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</si>
  <si>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</si>
  <si>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</si>
  <si>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</si>
  <si>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</si>
  <si>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</si>
  <si>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</si>
  <si>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</si>
  <si>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</si>
  <si>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</si>
  <si>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</si>
  <si>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</si>
  <si>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</si>
  <si>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</si>
  <si>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</si>
  <si>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</si>
  <si>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</si>
  <si>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</si>
  <si>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</si>
  <si>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</si>
  <si>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</si>
  <si>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</si>
  <si>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</si>
  <si>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</si>
  <si>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</si>
  <si>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</si>
  <si>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</si>
  <si>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</si>
  <si>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</si>
  <si>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</si>
  <si>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</si>
  <si>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</si>
  <si>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</si>
  <si>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</si>
  <si>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</si>
  <si>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</si>
  <si>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</si>
  <si>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</si>
  <si>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</si>
  <si>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</si>
  <si>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</si>
  <si>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</si>
  <si>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</si>
  <si>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</si>
  <si>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</si>
  <si>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</si>
  <si>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</si>
  <si>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</si>
  <si>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</si>
  <si>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</si>
  <si>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</si>
  <si>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</si>
  <si>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</si>
  <si>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</si>
  <si>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</si>
  <si>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</si>
  <si>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</si>
  <si>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</si>
  <si>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</si>
  <si>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</si>
  <si>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</si>
  <si>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</si>
  <si>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</si>
  <si>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</si>
  <si>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</si>
  <si>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</si>
  <si>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</si>
  <si>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</si>
  <si>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</si>
  <si>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</si>
  <si>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</si>
  <si>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</si>
  <si>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</si>
  <si>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</si>
  <si>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</si>
  <si>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</si>
  <si>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</si>
  <si>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</si>
  <si>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</si>
  <si>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</si>
  <si>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</si>
  <si>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</si>
  <si>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</si>
  <si>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</si>
  <si>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</si>
  <si>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</si>
  <si>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</si>
  <si>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</si>
  <si>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</si>
  <si>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</si>
  <si>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</si>
  <si>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</si>
  <si>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</si>
  <si>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</si>
  <si>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</si>
  <si>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</si>
  <si>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</si>
  <si>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</si>
  <si>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</si>
  <si>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</si>
  <si>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</si>
  <si>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</si>
  <si>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</si>
  <si>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</si>
  <si>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</si>
  <si>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</si>
  <si>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</si>
  <si>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</si>
  <si>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</si>
  <si>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</si>
  <si>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</si>
  <si>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</si>
  <si>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</si>
  <si>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</si>
  <si>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</si>
  <si>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</si>
  <si>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</si>
  <si>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</si>
  <si>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</si>
  <si>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</si>
  <si>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</si>
  <si>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</si>
  <si>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</si>
  <si>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</si>
  <si>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</si>
  <si>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</si>
  <si>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</si>
  <si>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</si>
  <si>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</si>
  <si>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</si>
  <si>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</si>
  <si>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</si>
  <si>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</si>
  <si>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</si>
  <si>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</si>
  <si>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</si>
  <si>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</si>
  <si>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</si>
  <si>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</si>
  <si>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</si>
  <si>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</si>
  <si>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</si>
  <si>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</si>
  <si>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</si>
  <si>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</si>
  <si>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</si>
  <si>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</si>
  <si>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</si>
  <si>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</si>
  <si>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</si>
  <si>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</si>
  <si>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</si>
  <si>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</si>
  <si>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</si>
  <si>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</si>
  <si>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</si>
  <si>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</si>
  <si>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</si>
  <si>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</si>
  <si>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</si>
  <si>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</si>
  <si>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</si>
  <si>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</si>
  <si>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</si>
  <si>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</si>
  <si>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</si>
  <si>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</si>
  <si>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</si>
  <si>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</si>
  <si>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</si>
  <si>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</si>
  <si>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</si>
  <si>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</si>
  <si>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</si>
  <si>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</si>
  <si>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</si>
  <si>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</si>
  <si>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</si>
  <si>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</si>
  <si>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</si>
  <si>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</si>
  <si>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</si>
  <si>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</si>
  <si>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</si>
  <si>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</si>
  <si>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</si>
  <si>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</si>
  <si>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</si>
  <si>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</si>
  <si>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</si>
  <si>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</si>
  <si>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</si>
  <si>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</si>
  <si>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</si>
  <si>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</si>
  <si>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</si>
  <si>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</si>
  <si>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</si>
  <si>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</si>
  <si>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</si>
  <si>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</si>
  <si>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</si>
  <si>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</si>
  <si>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</si>
  <si>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</si>
  <si>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</si>
  <si>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</si>
  <si>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</si>
  <si>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</si>
  <si>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</si>
  <si>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</si>
  <si>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</si>
  <si>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</si>
  <si>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</si>
  <si>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</si>
  <si>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</si>
  <si>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</si>
  <si>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</si>
  <si>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</si>
  <si>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</si>
  <si>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</si>
  <si>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</si>
  <si>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</si>
  <si>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</si>
  <si>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</si>
  <si>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</si>
  <si>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</si>
  <si>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</si>
  <si>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</si>
  <si>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</si>
  <si>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</si>
  <si>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</si>
  <si>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</si>
  <si>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</si>
  <si>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</si>
  <si>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</si>
  <si>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</si>
  <si>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</si>
  <si>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</si>
  <si>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</si>
  <si>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</si>
  <si>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</si>
  <si>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</si>
  <si>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</si>
  <si>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</si>
  <si>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</si>
  <si>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</si>
  <si>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</si>
  <si>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</si>
  <si>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</si>
  <si>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</si>
  <si>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</si>
  <si>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</si>
  <si>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</si>
  <si>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</si>
  <si>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</si>
  <si>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</si>
  <si>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</si>
  <si>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</si>
  <si>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</si>
  <si>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</si>
  <si>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</si>
  <si>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</si>
  <si>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</si>
  <si>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</si>
  <si>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</si>
  <si>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</si>
  <si>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</si>
  <si>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</si>
  <si>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</si>
  <si>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</si>
  <si>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</si>
  <si>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</si>
  <si>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</si>
  <si>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</si>
  <si>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</si>
  <si>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</si>
  <si>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</si>
  <si>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</si>
  <si>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</si>
  <si>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</si>
  <si>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</si>
  <si>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</si>
  <si>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</si>
  <si>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</si>
  <si>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</si>
  <si>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</si>
  <si>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</si>
  <si>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</si>
  <si>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</si>
  <si>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</si>
  <si>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</si>
  <si>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</si>
  <si>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</si>
  <si>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</si>
  <si>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</si>
  <si>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</si>
  <si>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</si>
  <si>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</si>
  <si>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</si>
  <si>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</si>
  <si>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</si>
  <si>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</si>
  <si>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</si>
  <si>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</si>
  <si>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</si>
  <si>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</si>
  <si>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</si>
  <si>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</si>
  <si>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</si>
  <si>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</si>
  <si>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</si>
  <si>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</si>
  <si>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</si>
  <si>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</si>
  <si>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</si>
  <si>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</si>
  <si>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</si>
  <si>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</si>
  <si>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</si>
  <si>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</si>
  <si>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</si>
  <si>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</si>
  <si>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</si>
  <si>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</si>
  <si>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</si>
  <si>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</si>
  <si>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</si>
  <si>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</si>
  <si>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</si>
  <si>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</si>
  <si>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</si>
  <si>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</si>
  <si>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</si>
  <si>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</si>
  <si>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</si>
  <si>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</si>
  <si>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</si>
  <si>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</si>
  <si>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</si>
  <si>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</si>
  <si>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</si>
  <si>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</si>
  <si>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</si>
  <si>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</si>
  <si>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</si>
  <si>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</si>
  <si>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</si>
  <si>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</si>
  <si>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</si>
  <si>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</si>
  <si>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</si>
  <si>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</si>
  <si>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</si>
  <si>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</si>
  <si>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</si>
  <si>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</si>
  <si>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</si>
  <si>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</si>
  <si>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</si>
  <si>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</si>
  <si>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</si>
  <si>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</si>
  <si>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</si>
  <si>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</si>
  <si>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</si>
  <si>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</si>
  <si>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</si>
  <si>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</si>
  <si>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</si>
  <si>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</si>
  <si>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</si>
  <si>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</si>
  <si>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</si>
  <si>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</si>
  <si>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</si>
  <si>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</si>
  <si>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</si>
  <si>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</si>
  <si>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</si>
  <si>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</si>
  <si>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</si>
  <si>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</si>
  <si>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</si>
  <si>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</si>
  <si>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</si>
  <si>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</si>
  <si>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</si>
  <si>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</si>
  <si>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</si>
  <si>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</si>
  <si>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</si>
  <si>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</si>
  <si>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</si>
  <si>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</si>
  <si>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</si>
  <si>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</si>
  <si>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</si>
  <si>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</si>
  <si>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</si>
  <si>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</si>
  <si>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</si>
  <si>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</si>
  <si>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</si>
  <si>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</si>
  <si>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</si>
  <si>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</si>
  <si>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</si>
  <si>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</si>
  <si>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</si>
  <si>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</si>
  <si>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</si>
  <si>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</si>
  <si>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</si>
  <si>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</si>
  <si>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</si>
  <si>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</si>
  <si>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</si>
  <si>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</si>
  <si>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</si>
  <si>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</si>
  <si>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</si>
  <si>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</si>
  <si>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</si>
  <si>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</si>
  <si>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</si>
  <si>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</si>
  <si>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</si>
  <si>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</si>
  <si>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</si>
  <si>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</si>
  <si>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</si>
  <si>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</si>
  <si>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</si>
  <si>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</si>
  <si>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</si>
  <si>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</si>
  <si>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</si>
  <si>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</si>
  <si>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</si>
  <si>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</si>
  <si>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</si>
  <si>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</si>
  <si>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</si>
  <si>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</si>
  <si>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</si>
  <si>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</si>
  <si>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</si>
  <si>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</si>
  <si>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</si>
  <si>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</si>
  <si>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</si>
  <si>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</si>
  <si>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</si>
  <si>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</si>
  <si>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</si>
  <si>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</si>
  <si>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</si>
  <si>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</si>
  <si>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</si>
  <si>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</si>
  <si>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</si>
  <si>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</si>
  <si>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</si>
  <si>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</si>
  <si>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</si>
  <si>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</si>
  <si>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</si>
  <si>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</si>
  <si>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</si>
  <si>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</si>
  <si>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</si>
  <si>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</si>
  <si>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</si>
  <si>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</si>
  <si>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</si>
  <si>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</si>
  <si>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</si>
  <si>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</si>
  <si>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</si>
  <si>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</si>
  <si>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</si>
  <si>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</si>
  <si>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</si>
  <si>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</si>
  <si>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</si>
  <si>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</si>
  <si>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</si>
  <si>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</si>
  <si>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</si>
  <si>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</si>
  <si>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</si>
  <si>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</si>
  <si>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</si>
  <si>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</si>
  <si>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</si>
  <si>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</si>
  <si>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</si>
  <si>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</si>
  <si>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</si>
  <si>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</si>
  <si>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</si>
  <si>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</si>
  <si>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</si>
  <si>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</si>
  <si>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</si>
  <si>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</si>
  <si>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</si>
  <si>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</si>
  <si>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</si>
  <si>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</si>
  <si>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</si>
  <si>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</si>
  <si>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</si>
  <si>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</si>
  <si>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</si>
  <si>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</si>
  <si>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</si>
  <si>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</si>
  <si>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</si>
  <si>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</si>
  <si>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</si>
  <si>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</si>
  <si>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</si>
  <si>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</si>
  <si>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</si>
  <si>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</si>
  <si>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</si>
  <si>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</si>
  <si>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</si>
  <si>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</si>
  <si>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</si>
  <si>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</si>
  <si>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</si>
  <si>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</si>
  <si>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</si>
  <si>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</si>
  <si>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</si>
  <si>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</si>
  <si>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</si>
  <si>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</si>
  <si>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</si>
  <si>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</si>
  <si>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</si>
  <si>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</si>
  <si>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</si>
  <si>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</si>
  <si>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</si>
  <si>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</si>
  <si>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</si>
  <si>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</si>
  <si>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Florida Cirtech</t>
  </si>
  <si>
    <t>1309 N 17th Ave, Greeley CO 80631</t>
  </si>
  <si>
    <t>Sven Bock</t>
  </si>
  <si>
    <t>sbock@fctcompanies.com</t>
  </si>
  <si>
    <t>214-315-7045</t>
  </si>
  <si>
    <t>Director of Quality / ITAR EO</t>
  </si>
  <si>
    <t>100%</t>
  </si>
  <si>
    <t>https://floridacirtech.com/wp-content/uploads/2018/04/CirTech_ConflictMineral_statement.pdf</t>
  </si>
  <si>
    <t>BARSN100CLB25, BARSN100CLeB</t>
  </si>
  <si>
    <t>SN100CL, SN100CLe</t>
  </si>
  <si>
    <t>Lead-Free bar solder</t>
  </si>
  <si>
    <t>BARFCTPLUS, BARFCTPLUSFB</t>
  </si>
  <si>
    <t>Nitroflo Plus</t>
  </si>
  <si>
    <t>63/37 Tin/Lead solder bar</t>
  </si>
  <si>
    <t>Ni10</t>
  </si>
  <si>
    <t>Nickel 10</t>
  </si>
  <si>
    <t>Nickel additive</t>
  </si>
  <si>
    <t>AO1000</t>
  </si>
  <si>
    <t>Germanium additive</t>
  </si>
  <si>
    <t>TS28, TS56</t>
  </si>
  <si>
    <t>Immersion Tin chemistry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</si>
</sst>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bock@fctcompanie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floridacirtech.com/wp-content/uploads/2018/04/CirTech_ConflictMineral_statement.pdf" TargetMode="External"/><Relationship Id="rId4" Type="http://schemas.openxmlformats.org/officeDocument/2006/relationships/hyperlink" Target="mailto:sbock@fctcompanie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
      <c r="A4" s="302"/>
      <c r="B4" s="30" t="s">
        <v>820</v>
      </c>
      <c r="C4" s="6"/>
      <c r="D4" s="177"/>
      <c r="E4" s="3"/>
      <c r="F4" s="6"/>
      <c r="G4" s="25"/>
    </row>
    <row r="5" spans="1:7" ht="13.2">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20.399999999999999">
      <c r="A13" s="302"/>
      <c r="B13" s="2">
        <v>1</v>
      </c>
      <c r="C13" s="27" t="s">
        <v>1057</v>
      </c>
      <c r="D13" s="28" t="s">
        <v>847</v>
      </c>
      <c r="E13" s="163" t="s">
        <v>824</v>
      </c>
      <c r="F13" s="163"/>
      <c r="G13" s="25"/>
    </row>
    <row r="14" spans="1:7" ht="30.6">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55" customHeight="1">
      <c r="A29" s="302"/>
      <c r="B29" s="315"/>
      <c r="C29" s="309"/>
      <c r="D29" s="312"/>
      <c r="E29" s="300"/>
      <c r="F29" s="165" t="s">
        <v>57</v>
      </c>
      <c r="G29" s="25"/>
    </row>
    <row r="30" spans="1:7" ht="62.5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5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12.2">
      <c r="A36" s="302"/>
      <c r="B36" s="316"/>
      <c r="C36" s="310"/>
      <c r="D36" s="313"/>
      <c r="E36" s="301"/>
      <c r="F36" s="166" t="s">
        <v>65</v>
      </c>
      <c r="G36" s="25"/>
    </row>
    <row r="37" spans="1:7" ht="102">
      <c r="A37" s="302"/>
      <c r="B37" s="141">
        <v>3.01</v>
      </c>
      <c r="C37" s="142" t="s">
        <v>66</v>
      </c>
      <c r="D37" s="28" t="s">
        <v>2203</v>
      </c>
      <c r="E37" s="167" t="s">
        <v>1294</v>
      </c>
      <c r="F37" s="168" t="s">
        <v>1396</v>
      </c>
      <c r="G37" s="25"/>
    </row>
    <row r="38" spans="1:7" ht="81.599999999999994">
      <c r="A38" s="302"/>
      <c r="B38" s="141">
        <v>3.02</v>
      </c>
      <c r="C38" s="142" t="s">
        <v>1326</v>
      </c>
      <c r="D38" s="28" t="s">
        <v>2204</v>
      </c>
      <c r="E38" s="167" t="s">
        <v>1341</v>
      </c>
      <c r="F38" s="168" t="s">
        <v>1397</v>
      </c>
      <c r="G38" s="25"/>
    </row>
    <row r="39" spans="1:7" ht="81.599999999999994">
      <c r="A39" s="302"/>
      <c r="B39" s="150">
        <v>4</v>
      </c>
      <c r="C39" s="149" t="s">
        <v>1492</v>
      </c>
      <c r="D39" s="28" t="s">
        <v>2205</v>
      </c>
      <c r="E39" s="27" t="s">
        <v>2151</v>
      </c>
      <c r="F39" s="27" t="s">
        <v>1493</v>
      </c>
      <c r="G39" s="25"/>
    </row>
    <row r="40" spans="1:7" ht="40.799999999999997">
      <c r="A40" s="302"/>
      <c r="B40" s="141">
        <v>4.01</v>
      </c>
      <c r="C40" s="149" t="s">
        <v>1492</v>
      </c>
      <c r="D40" s="28" t="s">
        <v>2207</v>
      </c>
      <c r="E40" s="27" t="s">
        <v>2163</v>
      </c>
      <c r="F40" s="27" t="s">
        <v>2167</v>
      </c>
      <c r="G40" s="25"/>
    </row>
    <row r="41" spans="1:7" ht="40.799999999999997">
      <c r="A41" s="302"/>
      <c r="B41" s="141" t="s">
        <v>2194</v>
      </c>
      <c r="C41" s="149" t="s">
        <v>1492</v>
      </c>
      <c r="D41" s="28" t="s">
        <v>2206</v>
      </c>
      <c r="E41" s="27" t="s">
        <v>2197</v>
      </c>
      <c r="F41" s="27" t="s">
        <v>2195</v>
      </c>
      <c r="G41" s="25"/>
    </row>
    <row r="42" spans="1:7" ht="40.799999999999997">
      <c r="A42" s="302"/>
      <c r="B42" s="141" t="s">
        <v>2228</v>
      </c>
      <c r="C42" s="149" t="s">
        <v>1492</v>
      </c>
      <c r="D42" s="28" t="s">
        <v>2233</v>
      </c>
      <c r="E42" s="27" t="s">
        <v>2196</v>
      </c>
      <c r="F42" s="27" t="s">
        <v>2229</v>
      </c>
      <c r="G42" s="25"/>
    </row>
    <row r="43" spans="1:7" ht="112.2">
      <c r="A43" s="302"/>
      <c r="B43" s="160">
        <v>4.0999999999999996</v>
      </c>
      <c r="C43" s="149" t="s">
        <v>2232</v>
      </c>
      <c r="D43" s="161">
        <v>42867</v>
      </c>
      <c r="E43" s="169" t="s">
        <v>2235</v>
      </c>
      <c r="F43" s="27" t="s">
        <v>2234</v>
      </c>
      <c r="G43" s="25"/>
    </row>
    <row r="44" spans="1:7" ht="71.400000000000006">
      <c r="A44" s="302"/>
      <c r="B44" s="160">
        <v>4.2</v>
      </c>
      <c r="C44" s="149" t="s">
        <v>2232</v>
      </c>
      <c r="D44" s="161">
        <v>42704</v>
      </c>
      <c r="E44" s="169" t="s">
        <v>2431</v>
      </c>
      <c r="F44" s="27" t="s">
        <v>2406</v>
      </c>
      <c r="G44" s="25"/>
    </row>
    <row r="45" spans="1:7" ht="132.6">
      <c r="A45" s="302"/>
      <c r="B45" s="202">
        <v>5</v>
      </c>
      <c r="C45" s="149" t="s">
        <v>2232</v>
      </c>
      <c r="D45" s="161">
        <v>42867</v>
      </c>
      <c r="E45" s="169" t="s">
        <v>12652</v>
      </c>
      <c r="F45" s="27" t="s">
        <v>12374</v>
      </c>
      <c r="G45" s="25"/>
    </row>
    <row r="46" spans="1:7" ht="30.6">
      <c r="A46" s="302"/>
      <c r="B46" s="160">
        <v>5.01</v>
      </c>
      <c r="C46" s="149" t="s">
        <v>2232</v>
      </c>
      <c r="D46" s="161">
        <v>42907</v>
      </c>
      <c r="E46" s="169" t="s">
        <v>15329</v>
      </c>
      <c r="F46" s="27" t="s">
        <v>12374</v>
      </c>
      <c r="G46" s="25"/>
    </row>
    <row r="47" spans="1:7" ht="61.2">
      <c r="A47" s="302"/>
      <c r="B47" s="160">
        <v>5.0999999999999996</v>
      </c>
      <c r="C47" s="149" t="s">
        <v>2232</v>
      </c>
      <c r="D47" s="161">
        <v>43070</v>
      </c>
      <c r="E47" s="169" t="s">
        <v>12862</v>
      </c>
      <c r="F47" s="27" t="s">
        <v>12863</v>
      </c>
      <c r="G47" s="25"/>
    </row>
    <row r="48" spans="1:7" ht="51">
      <c r="A48" s="302"/>
      <c r="B48" s="160">
        <v>5.1100000000000003</v>
      </c>
      <c r="C48" s="149" t="s">
        <v>13097</v>
      </c>
      <c r="D48" s="161">
        <v>43217</v>
      </c>
      <c r="E48" s="169" t="s">
        <v>13199</v>
      </c>
      <c r="F48" s="27" t="s">
        <v>13124</v>
      </c>
      <c r="G48" s="25"/>
    </row>
    <row r="49" spans="1:7" ht="51">
      <c r="A49" s="302"/>
      <c r="B49" s="160">
        <v>5.12</v>
      </c>
      <c r="C49" s="149" t="s">
        <v>13097</v>
      </c>
      <c r="D49" s="161">
        <v>43581</v>
      </c>
      <c r="E49" s="169" t="s">
        <v>13199</v>
      </c>
      <c r="F49" s="27" t="s">
        <v>13741</v>
      </c>
      <c r="G49" s="25"/>
    </row>
    <row r="50" spans="1:7" ht="71.400000000000006">
      <c r="A50" s="302"/>
      <c r="B50" s="202">
        <v>6</v>
      </c>
      <c r="C50" s="149" t="s">
        <v>13097</v>
      </c>
      <c r="D50" s="161">
        <v>43964</v>
      </c>
      <c r="E50" s="169" t="s">
        <v>13953</v>
      </c>
      <c r="F50" s="27" t="s">
        <v>13744</v>
      </c>
      <c r="G50" s="25"/>
    </row>
    <row r="51" spans="1:7" ht="40.799999999999997">
      <c r="A51" s="302"/>
      <c r="B51" s="160">
        <v>6.01</v>
      </c>
      <c r="C51" s="149" t="s">
        <v>13097</v>
      </c>
      <c r="D51" s="161">
        <v>43970</v>
      </c>
      <c r="E51" s="169" t="s">
        <v>15330</v>
      </c>
      <c r="F51" s="169" t="s">
        <v>13744</v>
      </c>
      <c r="G51" s="25"/>
    </row>
    <row r="52" spans="1:7" ht="40.799999999999997">
      <c r="A52" s="302"/>
      <c r="B52" s="160">
        <v>6.1</v>
      </c>
      <c r="C52" s="149" t="s">
        <v>13097</v>
      </c>
      <c r="D52" s="161">
        <v>44314</v>
      </c>
      <c r="E52" s="169" t="s">
        <v>15323</v>
      </c>
      <c r="F52" s="169" t="s">
        <v>14913</v>
      </c>
      <c r="G52" s="25"/>
    </row>
    <row r="53" spans="1:7" ht="40.799999999999997">
      <c r="A53" s="302"/>
      <c r="B53" s="160">
        <v>6.2</v>
      </c>
      <c r="C53" s="149" t="s">
        <v>13097</v>
      </c>
      <c r="D53" s="161">
        <v>44678</v>
      </c>
      <c r="E53" s="169" t="s">
        <v>15323</v>
      </c>
      <c r="F53" s="169" t="s">
        <v>15322</v>
      </c>
      <c r="G53" s="25"/>
    </row>
    <row r="54" spans="1:7" ht="40.799999999999997">
      <c r="A54" s="302"/>
      <c r="B54" s="160">
        <v>6.21</v>
      </c>
      <c r="C54" s="149" t="s">
        <v>13097</v>
      </c>
      <c r="D54" s="161">
        <v>44687</v>
      </c>
      <c r="E54" s="169" t="s">
        <v>15331</v>
      </c>
      <c r="F54" s="169" t="s">
        <v>15322</v>
      </c>
      <c r="G54" s="25"/>
    </row>
    <row r="55" spans="1:7" ht="40.799999999999997">
      <c r="A55" s="302"/>
      <c r="B55" s="160">
        <v>6.22</v>
      </c>
      <c r="C55" s="149" t="s">
        <v>13097</v>
      </c>
      <c r="D55" s="275">
        <v>44692</v>
      </c>
      <c r="E55" s="169" t="s">
        <v>15330</v>
      </c>
      <c r="F55" s="169" t="s">
        <v>15322</v>
      </c>
      <c r="G55" s="25"/>
    </row>
    <row r="56" spans="1:7" ht="51">
      <c r="A56" s="302"/>
      <c r="B56" s="202">
        <v>6.3</v>
      </c>
      <c r="C56" s="149" t="s">
        <v>13097</v>
      </c>
      <c r="D56" s="275">
        <v>45051</v>
      </c>
      <c r="E56" s="169" t="s">
        <v>15590</v>
      </c>
      <c r="F56" s="169" t="s">
        <v>15371</v>
      </c>
      <c r="G56" s="25"/>
    </row>
    <row r="57" spans="1:7" ht="40.799999999999997">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549999999999997" customHeight="1">
      <c r="A59" s="302"/>
      <c r="B59" s="202">
        <v>6.5</v>
      </c>
      <c r="C59" s="149" t="s">
        <v>13097</v>
      </c>
      <c r="D59" s="275">
        <v>45772</v>
      </c>
      <c r="E59" s="169" t="s">
        <v>15669</v>
      </c>
      <c r="F59" s="169" t="s">
        <v>15720</v>
      </c>
      <c r="G59" s="25"/>
    </row>
    <row r="60" spans="1:7" ht="13.2" thickBot="1">
      <c r="A60" s="303"/>
      <c r="B60" s="304" t="str">
        <f ca="1">OFFSET(L!$C$1,MATCH("General"&amp;"Cpy",L!$A:$A,0)-1,SL,,)</f>
        <v>© 2025 Responsible Minerals Initiative. All rights reserved.</v>
      </c>
      <c r="C60" s="304"/>
      <c r="D60" s="304"/>
      <c r="E60" s="304"/>
      <c r="F60" s="304"/>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28CC8F0-189A-4EC9-80DC-F271EF7FE07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BC805746-3C1E-4A06-978D-7D675A2714A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8.6">
      <c r="A10" s="74"/>
      <c r="B10" s="63" t="str">
        <f ca="1">OFFSET(L!$C$1,MATCH("Definitions"&amp;ADDRESS(ROW(),COLUMN(),4),L!$A:$A,0)-1,SL,,)</f>
        <v>DRC</v>
      </c>
      <c r="C10" s="63" t="str">
        <f ca="1">OFFSET(L!$C$1,MATCH("Definitions"&amp;ADDRESS(ROW(),COLUMN(),4),L!$A:$A,0)-1,SL,,)</f>
        <v>Democratic Republic of Congo</v>
      </c>
      <c r="D10" s="321"/>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6.2">
      <c r="A32" s="74"/>
      <c r="B32" s="320" t="str">
        <f ca="1">OFFSET(L!$C$1,MATCH("General"&amp;"Cpy",L!$A:$A,0)-1,SL,,)</f>
        <v>© 2025 Responsible Minerals Initiative. All rights reserved.</v>
      </c>
      <c r="C32" s="320"/>
      <c r="D32" s="321"/>
      <c r="E32" s="100"/>
    </row>
    <row r="33" spans="1:4" ht="13.2" thickBot="1">
      <c r="A33" s="75"/>
      <c r="B33" s="153"/>
      <c r="C33" s="153"/>
      <c r="D33" s="322"/>
    </row>
    <row r="34" spans="1:4" ht="13.2"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E3" sqref="E3"/>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7.04999999999999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482</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49999999999997" customHeight="1">
      <c r="A10" s="38"/>
      <c r="B10" s="376" t="str">
        <f ca="1">OFFSET(L!$C$1,MATCH("Declaration"&amp;ADDRESS(ROW(),COLUMN(),4)&amp;LEFT($D$9,1),L!$A:$A,0)-1,SL,,)</f>
        <v>Go to Product List tab to enter products this declaration applies to</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Click here to enter the products this declaration applies to</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15818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15819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15820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15821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15819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15822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15820</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t="s">
        <v>15821</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45775</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26" t="s">
        <v>476</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476</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7" t="s">
        <v>15823</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15824</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2432</v>
      </c>
      <c r="D100" s="282" t="str">
        <f>IF(AND(OR($D$27="Yes",$D$27=""),OR($D$33="Yes",$D$33="")),"No","")</f>
        <v>No</v>
      </c>
      <c r="E100" s="282" t="str">
        <f>IF(AND(OR($D$26="Yes",$D$26=""),OR($D$32="Yes",$D$32="")),"50% or less","")</f>
        <v/>
      </c>
      <c r="G100" s="282" t="str">
        <f>IF(OR($D$28="Yes",$D$28=""),"Yes","")</f>
        <v/>
      </c>
    </row>
    <row r="101" spans="2:7" ht="15" hidden="1">
      <c r="B101" s="236" t="s">
        <v>2433</v>
      </c>
      <c r="D101" s="282" t="str">
        <f>IF(AND(OR($D$27="Yes",$D$27=""),OR($D$33="Yes",$D$33="")),"Unknown","")</f>
        <v>Unknown</v>
      </c>
      <c r="E101" s="282" t="str">
        <f>IF(AND(OR($D$26="Yes",$D$26=""),OR($D$32="Yes",$D$32="")),"None","")</f>
        <v/>
      </c>
      <c r="G101" s="282" t="str">
        <f>IF(OR($D$28="Yes",$D$28=""),"No","")</f>
        <v/>
      </c>
    </row>
    <row r="102" spans="2:7" ht="15" hidden="1">
      <c r="B102" s="236" t="s">
        <v>2434</v>
      </c>
      <c r="D102" s="282" t="str">
        <f>IF(AND(OR($D$28="Yes",$D$28=""),OR($D$34="Yes",$D$34="")),"Yes","")</f>
        <v/>
      </c>
      <c r="E102" s="282" t="str">
        <f>IF(AND(OR($D$27="Yes",$D$27=""),OR($D$33="Yes",$D$33="")),"100%","")</f>
        <v>100%</v>
      </c>
      <c r="G102" s="282" t="str">
        <f>IF(OR($D$29="Yes",$D$29=""),"Yes","")</f>
        <v/>
      </c>
    </row>
    <row r="103" spans="2:7" ht="15" hidden="1">
      <c r="B103" s="236" t="s">
        <v>2435</v>
      </c>
      <c r="D103" s="282" t="str">
        <f>IF(AND(OR($D$28="Yes",$D$28=""),OR($D$34="Yes",$D$34="")),"No","")</f>
        <v/>
      </c>
      <c r="E103" s="282" t="str">
        <f>IF(AND(OR($D$27="Yes",$D$27=""),OR($D$33="Yes",$D$33="")),"Greater than 90%","")</f>
        <v>Greater than 90%</v>
      </c>
      <c r="G103" s="282" t="str">
        <f>IF(OR($D$29="Yes",$D$29=""),"No","")</f>
        <v/>
      </c>
    </row>
    <row r="104" spans="2:7" ht="15" hidden="1">
      <c r="B104" s="236" t="s">
        <v>478</v>
      </c>
      <c r="D104" s="282" t="str">
        <f>IF(AND(OR($D$28="Yes",$D$28=""),OR($D$34="Yes",$D$34="")),"Unknown","")</f>
        <v/>
      </c>
      <c r="E104" s="282" t="str">
        <f>IF(AND(OR($D$27="Yes",$D$27=""),OR($D$33="Yes",$D$33="")),"Greater than 75%","")</f>
        <v>Greater than 75%</v>
      </c>
    </row>
    <row r="105" spans="2:7" ht="15" hidden="1">
      <c r="B105" s="236" t="s">
        <v>14853</v>
      </c>
      <c r="D105" s="282" t="str">
        <f>IF(AND(OR($D$29="Yes",$D$29=""),OR($D$35="Yes",$D$35="")),"Yes","")</f>
        <v/>
      </c>
      <c r="E105" s="282" t="str">
        <f>IF(AND(OR($D$27="Yes",$D$27=""),OR($D$33="Yes",$D$33="")),"Greater than 50%","")</f>
        <v>Greater than 50%</v>
      </c>
    </row>
    <row r="106" spans="2:7" ht="15" hidden="1">
      <c r="B106" s="236" t="s">
        <v>12341</v>
      </c>
      <c r="D106" s="282" t="str">
        <f>IF(AND(OR($D$29="Yes",$D$29=""),OR($D$35="Yes",$D$35="")),"No","")</f>
        <v/>
      </c>
      <c r="E106" s="282" t="str">
        <f>IF(AND(OR($D$27="Yes",$D$27=""),OR($D$33="Yes",$D$33="")),"50% or less","")</f>
        <v>50% or less</v>
      </c>
    </row>
    <row r="107" spans="2:7" ht="15" hidden="1">
      <c r="B107" s="236" t="s">
        <v>476</v>
      </c>
      <c r="D107" s="282" t="str">
        <f>IF(AND(OR($D$29="Yes",$D$29=""),OR($D$35="Yes",$D$35="")),"Unknown","")</f>
        <v/>
      </c>
      <c r="E107" s="282" t="str">
        <f>IF(AND(OR($D$27="Yes",$D$27=""),OR($D$33="Yes",$D$33="")),"None","")</f>
        <v>None</v>
      </c>
    </row>
    <row r="108" spans="2:7" ht="15" hidden="1">
      <c r="B108" s="236" t="s">
        <v>13880</v>
      </c>
      <c r="E108" s="282" t="str">
        <f>IF(AND(OR($D$28="Yes",$D$28=""),OR($D$34="Yes",$D$34="")),"100%","")</f>
        <v/>
      </c>
    </row>
    <row r="109" spans="2:7" ht="15" hidden="1">
      <c r="B109" s="236" t="s">
        <v>13882</v>
      </c>
      <c r="E109" s="282" t="str">
        <f>IF(AND(OR($D$28="Yes",$D$28=""),OR($D$34="Yes",$D$34="")),"Greater than 90%","")</f>
        <v/>
      </c>
    </row>
    <row r="110" spans="2:7" ht="15" hidden="1">
      <c r="B110" s="236" t="s">
        <v>13883</v>
      </c>
      <c r="E110" s="282" t="str">
        <f>IF(AND(OR($D$28="Yes",$D$28=""),OR($D$34="Yes",$D$34="")),"Greater than 75%","")</f>
        <v/>
      </c>
    </row>
    <row r="111" spans="2:7" ht="1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EEFE06B7-DCA2-4035-A9B5-C9261D637A68}"/>
    <hyperlink ref="D20" r:id="rId4" xr:uid="{2BF37720-478E-4DC2-9D2E-3D1CCEF307BC}"/>
    <hyperlink ref="G77" r:id="rId5" xr:uid="{8DE96264-146E-4EA4-9115-BF1E09B413E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O8" sqref="O8"/>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9.95" customHeight="1">
      <c r="A5" s="262" t="s">
        <v>754</v>
      </c>
      <c r="B5" s="182" t="s">
        <v>1099</v>
      </c>
      <c r="C5" s="186" t="s">
        <v>1003</v>
      </c>
      <c r="D5" s="230"/>
      <c r="E5" s="182" t="s">
        <v>851</v>
      </c>
      <c r="F5" s="182" t="s">
        <v>754</v>
      </c>
      <c r="G5" s="182" t="s">
        <v>13177</v>
      </c>
      <c r="H5" s="183">
        <v>0</v>
      </c>
      <c r="I5" s="184" t="s">
        <v>1743</v>
      </c>
      <c r="J5" s="184" t="s">
        <v>9062</v>
      </c>
      <c r="K5" s="224"/>
      <c r="L5" s="224"/>
      <c r="M5" s="224"/>
      <c r="N5" s="224"/>
      <c r="O5" s="224"/>
      <c r="P5" s="185"/>
      <c r="Q5" s="225"/>
      <c r="R5" s="182" t="str">
        <f ca="1">IF(ISERROR($V5),"",OFFSET('Smelter Look-up'!$C$4,$V5-4,0)&amp;"")</f>
        <v>Minsur</v>
      </c>
      <c r="S5" s="181" t="str">
        <f ca="1">IF(B5="","",IF(ISERROR(MATCH($E5,CL,0)),"Unknown",INDIRECT("'C'!$A$"&amp;MATCH($E5,CL,0)+1)))</f>
        <v>PE</v>
      </c>
      <c r="T5" s="181" t="str">
        <f ca="1">IF(B5="","",IF(ISERROR(MATCH($J5,SorP!$B$1:$B$6226,0)),"",INDIRECT("'SorP'!$A$"&amp;MATCH($S5&amp;$J5,SorP!C:C,0))))</f>
        <v>PE-ICA</v>
      </c>
      <c r="U5" s="201"/>
      <c r="V5" s="226">
        <f>IF(C5="",NA(),IF(OR(C5="Smelter not listed",C5="Smelter not yet identified"),MATCH($B5&amp;$D5,'Smelter Look-up'!$J:$J,0),MATCH($B5&amp;$C5,'Smelter Look-up'!$J:$J,0)))</f>
        <v>481</v>
      </c>
      <c r="X5" s="227">
        <f t="shared" ref="X5" si="0">IF(AND(C5="Smelter not listed",OR(LEN(D5)=0,LEN(E5)=0)),1,0)</f>
        <v>0</v>
      </c>
      <c r="AB5" s="228" t="str">
        <f t="shared" ref="AB5" si="1">B5&amp;C5</f>
        <v>TinMinsur</v>
      </c>
    </row>
    <row r="6" spans="1:34" s="227" customFormat="1" ht="19.95" customHeight="1">
      <c r="A6" s="262" t="s">
        <v>758</v>
      </c>
      <c r="B6" s="182" t="s">
        <v>1099</v>
      </c>
      <c r="C6" s="186" t="s">
        <v>13715</v>
      </c>
      <c r="D6" s="230"/>
      <c r="E6" s="182" t="s">
        <v>2382</v>
      </c>
      <c r="F6" s="182" t="s">
        <v>758</v>
      </c>
      <c r="G6" s="182" t="s">
        <v>13177</v>
      </c>
      <c r="H6" s="183">
        <v>0</v>
      </c>
      <c r="I6" s="184" t="s">
        <v>1728</v>
      </c>
      <c r="J6" s="184" t="s">
        <v>1728</v>
      </c>
      <c r="K6" s="224"/>
      <c r="L6" s="224"/>
      <c r="M6" s="224"/>
      <c r="N6" s="224"/>
      <c r="O6" s="224"/>
      <c r="P6" s="185"/>
      <c r="Q6" s="225"/>
      <c r="R6" s="182" t="str">
        <f ca="1">IF(ISERROR($V6),"",OFFSET('Smelter Look-up'!$C$4,$V6-4,0)&amp;"")</f>
        <v>Operaciones Metalurgicas S.A.</v>
      </c>
      <c r="S6" s="181" t="str">
        <f t="shared" ref="S6:S37" ca="1" si="2">IF(B6="","",IF(ISERROR(MATCH($E6,CL,0)),"Unknown",INDIRECT("'C'!$A$"&amp;MATCH($E6,CL,0)+1)))</f>
        <v>BO</v>
      </c>
      <c r="T6" s="181" t="str">
        <f ca="1">IF(B6="","",IF(ISERROR(MATCH($J6,SorP!$B$1:$B$6226,0)),"",INDIRECT("'SorP'!$A$"&amp;MATCH($S6&amp;$J6,SorP!C:C,0))))</f>
        <v>BO-O</v>
      </c>
      <c r="U6" s="201"/>
      <c r="V6" s="226">
        <f>IF(C6="",NA(),IF(OR(C6="Smelter not listed",C6="Smelter not yet identified"),MATCH($B6&amp;$D6,'Smelter Look-up'!$J:$J,0),MATCH($B6&amp;$C6,'Smelter Look-up'!$J:$J,0)))</f>
        <v>493</v>
      </c>
      <c r="X6" s="227">
        <f t="shared" ref="X6:X37" si="3">IF(AND(C6="Smelter not listed",OR(LEN(D6)=0,LEN(E6)=0)),1,0)</f>
        <v>0</v>
      </c>
      <c r="AB6" s="228" t="str">
        <f t="shared" ref="AB6:AB37" si="4">B6&amp;C6</f>
        <v>TinOperaciones Metalurgicas S.A.</v>
      </c>
    </row>
    <row r="7" spans="1:34" s="227" customFormat="1" ht="19.95" customHeight="1">
      <c r="A7" s="262" t="s">
        <v>751</v>
      </c>
      <c r="B7" s="182" t="s">
        <v>1099</v>
      </c>
      <c r="C7" s="186" t="s">
        <v>1293</v>
      </c>
      <c r="D7" s="230"/>
      <c r="E7" s="182" t="s">
        <v>1069</v>
      </c>
      <c r="F7" s="182" t="s">
        <v>751</v>
      </c>
      <c r="G7" s="182" t="s">
        <v>13177</v>
      </c>
      <c r="H7" s="183">
        <v>0</v>
      </c>
      <c r="I7" s="184" t="s">
        <v>1734</v>
      </c>
      <c r="J7" s="184" t="s">
        <v>13515</v>
      </c>
      <c r="K7" s="224"/>
      <c r="L7" s="224"/>
      <c r="M7" s="224"/>
      <c r="N7" s="224"/>
      <c r="O7" s="224"/>
      <c r="P7" s="185"/>
      <c r="Q7" s="225"/>
      <c r="R7" s="182" t="str">
        <f ca="1">IF(ISERROR($V7),"",OFFSET('Smelter Look-up'!$C$4,$V7-4,0)&amp;"")</f>
        <v>China Tin Group Co., Ltd.</v>
      </c>
      <c r="S7" s="181" t="str">
        <f t="shared" ca="1" si="2"/>
        <v>CN</v>
      </c>
      <c r="T7" s="181" t="str">
        <f ca="1">IF(B7="","",IF(ISERROR(MATCH($J7,SorP!$B$1:$B$6226,0)),"",INDIRECT("'SorP'!$A$"&amp;MATCH($S7&amp;$J7,SorP!C:C,0))))</f>
        <v>CN-GX</v>
      </c>
      <c r="U7" s="201"/>
      <c r="V7" s="226">
        <f>IF(C7="",NA(),IF(OR(C7="Smelter not listed",C7="Smelter not yet identified"),MATCH($B7&amp;$D7,'Smelter Look-up'!$J:$J,0),MATCH($B7&amp;$C7,'Smelter Look-up'!$J:$J,0)))</f>
        <v>411</v>
      </c>
      <c r="X7" s="227">
        <f t="shared" si="3"/>
        <v>0</v>
      </c>
      <c r="AB7" s="228" t="str">
        <f t="shared" si="4"/>
        <v>TinChina Tin Group Co., Ltd.</v>
      </c>
    </row>
    <row r="8" spans="1:34" s="227" customFormat="1" ht="19.95" customHeight="1">
      <c r="A8" s="262" t="s">
        <v>760</v>
      </c>
      <c r="B8" s="182" t="s">
        <v>1099</v>
      </c>
      <c r="C8" s="186" t="s">
        <v>13713</v>
      </c>
      <c r="D8" s="230"/>
      <c r="E8" s="182" t="s">
        <v>1074</v>
      </c>
      <c r="F8" s="182" t="s">
        <v>760</v>
      </c>
      <c r="G8" s="182" t="s">
        <v>13177</v>
      </c>
      <c r="H8" s="183">
        <v>0</v>
      </c>
      <c r="I8" s="184" t="s">
        <v>1751</v>
      </c>
      <c r="J8" s="184" t="s">
        <v>12799</v>
      </c>
      <c r="K8" s="224"/>
      <c r="L8" s="224"/>
      <c r="M8" s="224"/>
      <c r="N8" s="224"/>
      <c r="O8" s="224"/>
      <c r="P8" s="185"/>
      <c r="Q8" s="225"/>
      <c r="R8" s="182" t="str">
        <f ca="1">IF(ISERROR($V8),"",OFFSET('Smelter Look-up'!$C$4,$V8-4,0)&amp;"")</f>
        <v>PT Timah Tbk Mentok</v>
      </c>
      <c r="S8" s="181" t="str">
        <f t="shared" ca="1" si="2"/>
        <v>ID</v>
      </c>
      <c r="T8" s="181" t="str">
        <f ca="1">IF(B8="","",IF(ISERROR(MATCH($J8,SorP!$B$1:$B$6226,0)),"",INDIRECT("'SorP'!$A$"&amp;MATCH($S8&amp;$J8,SorP!C:C,0))))</f>
        <v>ID-BB</v>
      </c>
      <c r="U8" s="201"/>
      <c r="V8" s="226">
        <f>IF(C8="",NA(),IF(OR(C8="Smelter not listed",C8="Smelter not yet identified"),MATCH($B8&amp;$D8,'Smelter Look-up'!$J:$J,0),MATCH($B8&amp;$C8,'Smelter Look-up'!$J:$J,0)))</f>
        <v>510</v>
      </c>
      <c r="X8" s="227">
        <f t="shared" si="3"/>
        <v>0</v>
      </c>
      <c r="AB8" s="228" t="str">
        <f t="shared" si="4"/>
        <v>TinPT Timah Tbk Mentok</v>
      </c>
    </row>
    <row r="9" spans="1:34" s="227" customFormat="1" ht="19.95" customHeight="1">
      <c r="A9" s="262" t="s">
        <v>2481</v>
      </c>
      <c r="B9" s="182" t="s">
        <v>1099</v>
      </c>
      <c r="C9" s="186" t="s">
        <v>2480</v>
      </c>
      <c r="D9" s="230"/>
      <c r="E9" s="182" t="s">
        <v>1069</v>
      </c>
      <c r="F9" s="182" t="s">
        <v>2481</v>
      </c>
      <c r="G9" s="182" t="s">
        <v>13177</v>
      </c>
      <c r="H9" s="183">
        <v>0</v>
      </c>
      <c r="I9" s="184" t="s">
        <v>1781</v>
      </c>
      <c r="J9" s="184" t="s">
        <v>13536</v>
      </c>
      <c r="K9" s="224"/>
      <c r="L9" s="224"/>
      <c r="M9" s="224"/>
      <c r="N9" s="224"/>
      <c r="O9" s="224"/>
      <c r="P9" s="185"/>
      <c r="Q9" s="225"/>
      <c r="R9" s="182" t="str">
        <f ca="1">IF(ISERROR($V9),"",OFFSET('Smelter Look-up'!$C$4,$V9-4,0)&amp;"")</f>
        <v>Guangdong Hanhe Non-Ferrous Metal Co., Ltd.</v>
      </c>
      <c r="S9" s="181" t="str">
        <f t="shared" ca="1" si="2"/>
        <v>CN</v>
      </c>
      <c r="T9" s="181" t="str">
        <f ca="1">IF(B9="","",IF(ISERROR(MATCH($J9,SorP!$B$1:$B$6226,0)),"",INDIRECT("'SorP'!$A$"&amp;MATCH($S9&amp;$J9,SorP!C:C,0))))</f>
        <v>CN-GD</v>
      </c>
      <c r="U9" s="201"/>
      <c r="V9" s="226">
        <f>IF(C9="",NA(),IF(OR(C9="Smelter not listed",C9="Smelter not yet identified"),MATCH($B9&amp;$D9,'Smelter Look-up'!$J:$J,0),MATCH($B9&amp;$C9,'Smelter Look-up'!$J:$J,0)))</f>
        <v>450</v>
      </c>
      <c r="X9" s="227">
        <f t="shared" si="3"/>
        <v>0</v>
      </c>
      <c r="AB9" s="228" t="str">
        <f t="shared" si="4"/>
        <v>TinGuangdong Hanhe Non-Ferrous Metal Co., Ltd.</v>
      </c>
    </row>
    <row r="10" spans="1:34" s="227" customFormat="1" ht="19.95" customHeight="1">
      <c r="A10" s="262" t="s">
        <v>763</v>
      </c>
      <c r="B10" s="182" t="s">
        <v>1099</v>
      </c>
      <c r="C10" s="186" t="s">
        <v>1000</v>
      </c>
      <c r="D10" s="230"/>
      <c r="E10" s="182" t="s">
        <v>859</v>
      </c>
      <c r="F10" s="182" t="s">
        <v>763</v>
      </c>
      <c r="G10" s="182" t="s">
        <v>13177</v>
      </c>
      <c r="H10" s="183">
        <v>0</v>
      </c>
      <c r="I10" s="184" t="s">
        <v>1752</v>
      </c>
      <c r="J10" s="184" t="s">
        <v>1753</v>
      </c>
      <c r="K10" s="224"/>
      <c r="L10" s="224"/>
      <c r="M10" s="224"/>
      <c r="N10" s="224"/>
      <c r="O10" s="224"/>
      <c r="P10" s="185"/>
      <c r="Q10" s="225"/>
      <c r="R10" s="182" t="str">
        <f ca="1">IF(ISERROR($V10),"",OFFSET('Smelter Look-up'!$C$4,$V10-4,0)&amp;"")</f>
        <v>Thaisarco</v>
      </c>
      <c r="S10" s="181" t="str">
        <f t="shared" ca="1" si="2"/>
        <v>TH</v>
      </c>
      <c r="T10" s="181" t="str">
        <f ca="1">IF(B10="","",IF(ISERROR(MATCH($J10,SorP!$B$1:$B$6226,0)),"",INDIRECT("'SorP'!$A$"&amp;MATCH($S10&amp;$J10,SorP!C:C,0))))</f>
        <v>TH-83</v>
      </c>
      <c r="U10" s="201"/>
      <c r="V10" s="226">
        <f>IF(C10="",NA(),IF(OR(C10="Smelter not listed",C10="Smelter not yet identified"),MATCH($B10&amp;$D10,'Smelter Look-up'!$J:$J,0),MATCH($B10&amp;$C10,'Smelter Look-up'!$J:$J,0)))</f>
        <v>521</v>
      </c>
      <c r="X10" s="227">
        <f t="shared" si="3"/>
        <v>0</v>
      </c>
      <c r="AB10" s="228" t="str">
        <f t="shared" si="4"/>
        <v>TinThaisarco</v>
      </c>
    </row>
    <row r="11" spans="1:34" s="227" customFormat="1" ht="19.95"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19.95"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19.95"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19.95"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19.95"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19.95"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19.95"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19.95"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4981A8C-9098-4F2B-A6D7-C993D94AB9AA}"/>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64" sqref="A6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6.2">
      <c r="A2" s="66" t="s">
        <v>869</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Florida Cirtech</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Sven Bock</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sbock@fctcompanies.com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214-315-7045</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Sven Bock</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sbock@fctcompanies.com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45775</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https://floridacirtech.com/wp-content/uploads/2018/04/CirTech_ConflictMineral_statement.pdf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1273</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D17" sqref="D17"/>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t="s">
        <v>15825</v>
      </c>
      <c r="C6" s="98" t="s">
        <v>15826</v>
      </c>
      <c r="D6" s="98" t="s">
        <v>15827</v>
      </c>
      <c r="E6" s="276"/>
    </row>
    <row r="7" spans="1:6" ht="15">
      <c r="A7" s="129"/>
      <c r="B7" s="274" t="s">
        <v>15828</v>
      </c>
      <c r="C7" s="98" t="s">
        <v>15829</v>
      </c>
      <c r="D7" s="98" t="s">
        <v>15830</v>
      </c>
      <c r="E7" s="276"/>
    </row>
    <row r="8" spans="1:6" ht="15">
      <c r="A8" s="129"/>
      <c r="B8" s="274" t="s">
        <v>15831</v>
      </c>
      <c r="C8" s="98" t="s">
        <v>15832</v>
      </c>
      <c r="D8" s="98" t="s">
        <v>15833</v>
      </c>
      <c r="E8" s="276"/>
    </row>
    <row r="9" spans="1:6" ht="15">
      <c r="A9" s="129"/>
      <c r="B9" s="274" t="s">
        <v>15834</v>
      </c>
      <c r="C9" s="98" t="s">
        <v>15834</v>
      </c>
      <c r="D9" s="98" t="s">
        <v>15835</v>
      </c>
      <c r="E9" s="276"/>
    </row>
    <row r="10" spans="1:6" ht="15">
      <c r="A10" s="129"/>
      <c r="B10" s="274" t="s">
        <v>15836</v>
      </c>
      <c r="C10" s="98" t="s">
        <v>15836</v>
      </c>
      <c r="D10" s="98" t="s">
        <v>15837</v>
      </c>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5.2">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03.6000000000000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89.8">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6">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7">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4">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1.4">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1.4">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1.4">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9">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9">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9">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9">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Sven Bock</cp:lastModifiedBy>
  <cp:lastPrinted>2015-04-21T20:47:43Z</cp:lastPrinted>
  <dcterms:created xsi:type="dcterms:W3CDTF">2010-06-21T21:00:23Z</dcterms:created>
  <dcterms:modified xsi:type="dcterms:W3CDTF">2025-04-28T20:44:28Z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