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autoCompressPictures="0"/>
  <mc:AlternateContent xmlns:mc="http://schemas.openxmlformats.org/markup-compatibility/2006">
    <mc:Choice Requires="x15">
      <x15ac:absPath xmlns:x15ac="http://schemas.microsoft.com/office/spreadsheetml/2010/11/ac" url="C:\QMS FCT\8.2 Review of Requirements for Products and Services\Standards - Specifications\Conflict minerals\Official Letter and Listing\New Format\New Version\"/>
    </mc:Choice>
  </mc:AlternateContent>
  <xr:revisionPtr revIDLastSave="0" documentId="13_ncr:1_{05316420-4E14-42C5-A9CE-D8EE6134CFCE}"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B11" i="5" l="1"/>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E23" i="5"/>
  <c r="X23" i="5" s="1"/>
  <c r="G24" i="5"/>
  <c r="J25" i="5"/>
  <c r="AB26" i="5"/>
  <c r="G31" i="5"/>
  <c r="G34" i="5"/>
  <c r="S36" i="5"/>
  <c r="E39" i="5"/>
  <c r="X39" i="5" s="1"/>
  <c r="I46" i="5"/>
  <c r="AB22" i="5"/>
  <c r="F23" i="5"/>
  <c r="I24" i="5"/>
  <c r="R25" i="5"/>
  <c r="G30" i="5"/>
  <c r="H34" i="5"/>
  <c r="E38" i="5"/>
  <c r="X38" i="5" s="1"/>
  <c r="F39" i="5"/>
  <c r="G40" i="5"/>
  <c r="I45" i="5"/>
  <c r="R47" i="5"/>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65" i="5"/>
  <c r="X65" i="5" s="1"/>
  <c r="I66" i="5"/>
  <c r="S72" i="5"/>
  <c r="E81" i="5"/>
  <c r="X81" i="5" s="1"/>
  <c r="I82" i="5"/>
  <c r="S88" i="5"/>
  <c r="G22" i="5"/>
  <c r="I23" i="5"/>
  <c r="S30" i="5"/>
  <c r="I33" i="5"/>
  <c r="I39" i="5"/>
  <c r="G44"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8" i="5" l="1"/>
  <c r="B9" i="5"/>
  <c r="B10" i="5"/>
  <c r="B6" i="5"/>
  <c r="C5" i="5"/>
  <c r="C6" i="5"/>
  <c r="C7" i="5"/>
  <c r="B5" i="5"/>
  <c r="B7" i="5"/>
  <c r="B52" i="5"/>
  <c r="C50" i="5"/>
  <c r="C51" i="5"/>
  <c r="B51" i="5"/>
  <c r="B50" i="5"/>
  <c r="C49" i="5"/>
  <c r="B53" i="5"/>
  <c r="B49" i="5"/>
  <c r="C54" i="5"/>
  <c r="B54" i="5"/>
  <c r="C53" i="5"/>
  <c r="C52" i="5"/>
  <c r="C9" i="6"/>
  <c r="C12" i="6"/>
  <c r="B32" i="6"/>
  <c r="C11" i="6"/>
  <c r="C10" i="6"/>
  <c r="C4" i="6"/>
  <c r="C8"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5" i="5" l="1"/>
  <c r="V6" i="5"/>
  <c r="V5" i="5"/>
  <c r="G5" i="5" s="1"/>
  <c r="AB6" i="5"/>
  <c r="V52" i="5"/>
  <c r="G52" i="5" s="1"/>
  <c r="V53" i="5"/>
  <c r="G53" i="5" s="1"/>
  <c r="AB54" i="5"/>
  <c r="V54" i="5"/>
  <c r="G54" i="5" s="1"/>
  <c r="AB49" i="5"/>
  <c r="AB53" i="5"/>
  <c r="V49" i="5"/>
  <c r="G49" i="5" s="1"/>
  <c r="AB50" i="5"/>
  <c r="AB51" i="5"/>
  <c r="V51" i="5"/>
  <c r="V50" i="5"/>
  <c r="AB52" i="5"/>
  <c r="H45" i="6"/>
  <c r="D45"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R6" i="5" l="1"/>
  <c r="H6" i="5"/>
  <c r="E6" i="5"/>
  <c r="F6" i="5"/>
  <c r="I6" i="5"/>
  <c r="J6" i="5"/>
  <c r="H5" i="5"/>
  <c r="R5" i="5"/>
  <c r="I5" i="5"/>
  <c r="E5" i="5"/>
  <c r="J5" i="5"/>
  <c r="F5" i="5"/>
  <c r="G6" i="5"/>
  <c r="H51" i="5"/>
  <c r="R51" i="5"/>
  <c r="J51" i="5"/>
  <c r="E51" i="5"/>
  <c r="I51" i="5"/>
  <c r="F51" i="5"/>
  <c r="R50" i="5"/>
  <c r="H50" i="5"/>
  <c r="E50" i="5"/>
  <c r="I50" i="5"/>
  <c r="F50" i="5"/>
  <c r="J50" i="5"/>
  <c r="G51" i="5"/>
  <c r="R52" i="5"/>
  <c r="E52" i="5"/>
  <c r="J52" i="5"/>
  <c r="I52" i="5"/>
  <c r="H52" i="5"/>
  <c r="F52" i="5"/>
  <c r="H54" i="5"/>
  <c r="F54" i="5"/>
  <c r="R54" i="5"/>
  <c r="J54" i="5"/>
  <c r="I54" i="5"/>
  <c r="E54" i="5"/>
  <c r="R49" i="5"/>
  <c r="E49" i="5"/>
  <c r="F49" i="5"/>
  <c r="I49" i="5"/>
  <c r="J49" i="5"/>
  <c r="H49" i="5"/>
  <c r="R53" i="5"/>
  <c r="J53" i="5"/>
  <c r="H53" i="5"/>
  <c r="I53" i="5"/>
  <c r="E53" i="5"/>
  <c r="F53" i="5"/>
  <c r="G50" i="5"/>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2" i="5"/>
  <c r="T17" i="5"/>
  <c r="T16" i="5"/>
  <c r="T14" i="5"/>
  <c r="T15" i="5"/>
  <c r="T13" i="5"/>
  <c r="T11" i="5"/>
  <c r="T8" i="5"/>
  <c r="T5" i="5"/>
  <c r="T6" i="5"/>
  <c r="T9" i="5"/>
  <c r="T10" i="5"/>
  <c r="T7" i="5"/>
  <c r="T51" i="5"/>
  <c r="T54" i="5"/>
  <c r="T52" i="5"/>
  <c r="T49" i="5"/>
  <c r="T53" i="5"/>
  <c r="T50" i="5"/>
  <c r="X5" i="5" l="1"/>
  <c r="X6" i="5"/>
  <c r="X53" i="5"/>
  <c r="X50" i="5"/>
  <c r="X51" i="5"/>
  <c r="X49" i="5"/>
  <c r="X52" i="5"/>
  <c r="X54" i="5"/>
  <c r="X13" i="5"/>
  <c r="X10" i="5"/>
  <c r="D65" i="6"/>
  <c r="X9" i="5"/>
  <c r="X12" i="5"/>
  <c r="X14" i="5"/>
  <c r="X17" i="5"/>
  <c r="S17" i="5"/>
  <c r="D66" i="6"/>
  <c r="C67" i="6"/>
  <c r="X11" i="5"/>
  <c r="X15" i="5"/>
  <c r="X8" i="5"/>
  <c r="X7" i="5"/>
  <c r="G69" i="6"/>
  <c r="H69" i="6" s="1"/>
  <c r="H70" i="6" s="1"/>
  <c r="D2" i="6" s="1"/>
  <c r="X16" i="5"/>
  <c r="S16" i="5"/>
  <c r="D55" i="6"/>
  <c r="C55" i="6"/>
  <c r="D56" i="6"/>
  <c r="C56" i="6"/>
  <c r="S11" i="5"/>
  <c r="S13" i="5"/>
  <c r="S14" i="5"/>
  <c r="S12" i="5"/>
  <c r="S15" i="5"/>
  <c r="S5" i="5"/>
  <c r="S10" i="5"/>
  <c r="S9" i="5"/>
  <c r="S6" i="5"/>
  <c r="S8" i="5"/>
  <c r="S7" i="5"/>
  <c r="S50" i="5"/>
  <c r="S51" i="5"/>
  <c r="S49" i="5"/>
  <c r="S53" i="5"/>
  <c r="S52" i="5"/>
  <c r="S5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<sst xmlns="http://schemas.openxmlformats.org/spreadsheetml/2006/main" count="21826" uniqueCount="15529">
  <si>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</si>
  <si>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</si>
  <si>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</si>
  <si>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</si>
  <si>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</si>
  <si>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</si>
  <si>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</si>
  <si>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</si>
  <si>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</si>
  <si>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</si>
  <si>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</si>
  <si>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</si>
  <si>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</si>
  <si>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</si>
  <si>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</si>
  <si>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</si>
  <si>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</si>
  <si>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</si>
  <si>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</si>
  <si>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</si>
  <si>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</si>
  <si>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</si>
  <si>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</si>
  <si>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</si>
  <si>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</si>
  <si>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</si>
  <si>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</si>
  <si>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</si>
  <si>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</si>
  <si>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</si>
  <si>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</si>
  <si>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</si>
  <si>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</si>
  <si>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</si>
  <si>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</si>
  <si>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</si>
  <si>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</si>
  <si>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</si>
  <si>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</si>
  <si>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</si>
  <si>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</si>
  <si>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</si>
  <si>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</si>
  <si>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</si>
  <si>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</si>
  <si>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</si>
  <si>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</si>
  <si>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</si>
  <si>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</si>
  <si>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</si>
  <si>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</si>
  <si>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</si>
  <si>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</si>
  <si>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</si>
  <si>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</si>
  <si>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</si>
  <si>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</si>
  <si>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</si>
  <si>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</si>
  <si>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</si>
  <si>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</si>
  <si>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</si>
  <si>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</si>
  <si>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</si>
  <si>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</si>
  <si>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</si>
  <si>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</si>
  <si>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</si>
  <si>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</si>
  <si>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</si>
  <si>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</si>
  <si>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</si>
  <si>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</si>
  <si>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</si>
  <si>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</si>
  <si>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</si>
  <si>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</si>
  <si>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</si>
  <si>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</si>
  <si>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</si>
  <si>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</si>
  <si>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</si>
  <si>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</si>
  <si>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</si>
  <si>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</si>
  <si>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</si>
  <si>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</si>
  <si>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</si>
  <si>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</si>
  <si>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</si>
  <si>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</si>
  <si>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</si>
  <si>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</si>
  <si>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</si>
  <si>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</si>
  <si>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</si>
  <si>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</si>
  <si>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</si>
  <si>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</si>
  <si>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</si>
  <si>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</si>
  <si>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</si>
  <si>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</si>
  <si>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</si>
  <si>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</si>
  <si>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</si>
  <si>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</si>
  <si>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</si>
  <si>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</si>
  <si>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</si>
  <si>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</si>
  <si>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</si>
  <si>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</si>
  <si>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</si>
  <si>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</si>
  <si>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</si>
  <si>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</si>
  <si>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</si>
  <si>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</si>
  <si>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</si>
  <si>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</si>
  <si>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</si>
  <si>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</si>
  <si>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</si>
  <si>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</si>
  <si>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</si>
  <si>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</si>
  <si>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</si>
  <si>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</si>
  <si>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</si>
  <si>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</si>
  <si>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</si>
  <si>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</si>
  <si>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</si>
  <si>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</si>
  <si>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</si>
  <si>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</si>
  <si>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</si>
  <si>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</si>
  <si>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</si>
  <si>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</si>
  <si>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</si>
  <si>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</si>
  <si>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</si>
  <si>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</si>
  <si>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</si>
  <si>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</si>
  <si>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</si>
  <si>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</si>
  <si>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</si>
  <si>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</si>
  <si>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</si>
  <si>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</si>
  <si>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</si>
  <si>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</si>
  <si>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</si>
  <si>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</si>
  <si>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</si>
  <si>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</si>
  <si>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</si>
  <si>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</si>
  <si>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</si>
  <si>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</si>
  <si>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</si>
  <si>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</si>
  <si>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</si>
  <si>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</si>
  <si>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</si>
  <si>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</si>
  <si>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</si>
  <si>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</si>
  <si>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</si>
  <si>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</si>
  <si>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</si>
  <si>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</si>
  <si>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</si>
  <si>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</si>
  <si>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</si>
  <si>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</si>
  <si>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</si>
  <si>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</si>
  <si>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</si>
  <si>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</si>
  <si>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</si>
  <si>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</si>
  <si>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</si>
  <si>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</si>
  <si>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</si>
  <si>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</si>
  <si>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</si>
  <si>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</si>
  <si>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</si>
  <si>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</si>
  <si>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</si>
  <si>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</si>
  <si>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</si>
  <si>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</si>
  <si>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</si>
  <si>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</si>
  <si>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</si>
  <si>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</si>
  <si>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</si>
  <si>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</si>
  <si>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</si>
  <si>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</si>
  <si>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</si>
  <si>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</si>
  <si>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</si>
  <si>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</si>
  <si>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</si>
  <si>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</si>
  <si>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</si>
  <si>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</si>
  <si>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</si>
  <si>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</si>
  <si>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</si>
  <si>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</si>
  <si>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</si>
  <si>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</si>
  <si>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</si>
  <si>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</si>
  <si>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</si>
  <si>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</si>
  <si>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</si>
  <si>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</si>
  <si>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</si>
  <si>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</si>
  <si>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</si>
  <si>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</si>
  <si>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</si>
  <si>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</si>
  <si>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</si>
  <si>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</si>
  <si>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</si>
  <si>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</si>
  <si>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</si>
  <si>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</si>
  <si>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</si>
  <si>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</si>
  <si>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</si>
  <si>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</si>
  <si>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</si>
  <si>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</si>
  <si>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</si>
  <si>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</si>
  <si>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</si>
  <si>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</si>
  <si>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</si>
  <si>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</si>
  <si>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</si>
  <si>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</si>
  <si>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</si>
  <si>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</si>
  <si>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</si>
  <si>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</si>
  <si>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</si>
  <si>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</si>
  <si>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</si>
  <si>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</si>
  <si>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</si>
  <si>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</si>
  <si>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</si>
  <si>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</si>
  <si>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</si>
  <si>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</si>
  <si>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</si>
  <si>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</si>
  <si>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</si>
  <si>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</si>
  <si>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</si>
  <si>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</si>
  <si>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</si>
  <si>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</si>
  <si>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</si>
  <si>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</si>
  <si>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</si>
  <si>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</si>
  <si>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</si>
  <si>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</si>
  <si>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</si>
  <si>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</si>
  <si>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</si>
  <si>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</si>
  <si>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</si>
  <si>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</si>
  <si>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</si>
  <si>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</si>
  <si>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</si>
  <si>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</si>
  <si>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</si>
  <si>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</si>
  <si>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</si>
  <si>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</si>
  <si>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</si>
  <si>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</si>
  <si>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</si>
  <si>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</si>
  <si>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</si>
  <si>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</si>
  <si>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</si>
  <si>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</si>
  <si>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</si>
  <si>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</si>
  <si>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</si>
  <si>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</si>
  <si>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</si>
  <si>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</si>
  <si>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</si>
  <si>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</si>
  <si>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</si>
  <si>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</si>
  <si>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</si>
  <si>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</si>
  <si>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</si>
  <si>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</si>
  <si>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</si>
  <si>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</si>
  <si>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</si>
  <si>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</si>
  <si>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</si>
  <si>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</si>
  <si>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</si>
  <si>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</si>
  <si>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</si>
  <si>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</si>
  <si>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</si>
  <si>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</si>
  <si>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</si>
  <si>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</si>
  <si>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</si>
  <si>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</si>
  <si>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</si>
  <si>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</si>
  <si>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</si>
  <si>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</si>
  <si>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</si>
  <si>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</si>
  <si>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</si>
  <si>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</si>
  <si>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</si>
  <si>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</si>
  <si>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</si>
  <si>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</si>
  <si>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</si>
  <si>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</si>
  <si>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</si>
  <si>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</si>
  <si>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</si>
  <si>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</si>
  <si>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</si>
  <si>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</si>
  <si>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</si>
  <si>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</si>
  <si>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</si>
  <si>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</si>
  <si>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</si>
  <si>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</si>
  <si>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</si>
  <si>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</si>
  <si>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</si>
  <si>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</si>
  <si>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</si>
  <si>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</si>
  <si>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</si>
  <si>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</si>
  <si>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</si>
  <si>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</si>
  <si>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</si>
  <si>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</si>
  <si>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</si>
  <si>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</si>
  <si>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</si>
  <si>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</si>
  <si>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</si>
  <si>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</si>
  <si>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</si>
  <si>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</si>
  <si>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</si>
  <si>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</si>
  <si>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</si>
  <si>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</si>
  <si>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</si>
  <si>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</si>
  <si>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</si>
  <si>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</si>
  <si>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</si>
  <si>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</si>
  <si>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</si>
  <si>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</si>
  <si>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</si>
  <si>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</si>
  <si>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</si>
  <si>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</si>
  <si>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</si>
  <si>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</si>
  <si>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</si>
  <si>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</si>
  <si>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</si>
  <si>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</si>
  <si>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</si>
  <si>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</si>
  <si>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</si>
  <si>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</si>
  <si>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</si>
  <si>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</si>
  <si>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</si>
  <si>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</si>
  <si>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</si>
  <si>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</si>
  <si>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</si>
  <si>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</si>
  <si>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</si>
  <si>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</si>
  <si>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</si>
  <si>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</si>
  <si>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</si>
  <si>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</si>
  <si>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</si>
  <si>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</si>
  <si>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</si>
  <si>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</si>
  <si>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</si>
  <si>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</si>
  <si>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</si>
  <si>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</si>
  <si>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</si>
  <si>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</si>
  <si>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</si>
  <si>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</si>
  <si>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</si>
  <si>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</si>
  <si>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</si>
  <si>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</si>
  <si>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</si>
  <si>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</si>
  <si>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</si>
  <si>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</si>
  <si>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</si>
  <si>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</si>
  <si>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</si>
  <si>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</si>
  <si>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</si>
  <si>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</si>
  <si>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</si>
  <si>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</si>
  <si>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</si>
  <si>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</si>
  <si>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</si>
  <si>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</si>
  <si>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</si>
  <si>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</si>
  <si>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</si>
  <si>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</si>
  <si>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</si>
  <si>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</si>
  <si>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</si>
  <si>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</si>
  <si>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</si>
  <si>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</si>
  <si>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</si>
  <si>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</si>
  <si>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</si>
  <si>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</si>
  <si>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</si>
  <si>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</si>
  <si>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</si>
  <si>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</si>
  <si>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</si>
  <si>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</si>
  <si>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</si>
  <si>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</si>
  <si>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</si>
  <si>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</si>
  <si>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</si>
  <si>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</si>
  <si>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</si>
  <si>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</si>
  <si>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</si>
  <si>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</si>
  <si>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</si>
  <si>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</si>
  <si>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</si>
  <si>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</si>
  <si>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</si>
  <si>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</si>
  <si>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</si>
  <si>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</si>
  <si>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</si>
  <si>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</si>
  <si>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</si>
  <si>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</si>
  <si>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</si>
  <si>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</si>
  <si>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</si>
  <si>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</si>
  <si>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</si>
  <si>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</si>
  <si>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</si>
  <si>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</si>
  <si>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</si>
  <si>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</si>
  <si>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</si>
  <si>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</si>
  <si>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</si>
  <si>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</si>
  <si>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</si>
  <si>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</si>
  <si>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</si>
  <si>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</si>
  <si>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</si>
  <si>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</si>
  <si>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</si>
  <si>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</si>
  <si>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</si>
  <si>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</si>
  <si>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</si>
  <si>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</si>
  <si>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</si>
  <si>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</si>
  <si>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</si>
  <si>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</si>
  <si>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</si>
  <si>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</si>
  <si>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</si>
  <si>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</si>
  <si>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</si>
  <si>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</si>
  <si>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</si>
  <si>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</si>
  <si>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</si>
  <si>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</si>
  <si>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</si>
  <si>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</si>
  <si>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</si>
  <si>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</si>
  <si>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</si>
  <si>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</si>
  <si>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</si>
  <si>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</si>
  <si>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</si>
  <si>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</si>
  <si>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</si>
  <si>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</si>
  <si>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</si>
  <si>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</si>
  <si>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</si>
  <si>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</si>
  <si>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</si>
  <si>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</si>
  <si>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</si>
  <si>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</si>
  <si>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</si>
  <si>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</si>
  <si>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</si>
  <si>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</si>
  <si>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</si>
  <si>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</si>
  <si>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</si>
  <si>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</si>
  <si>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</si>
  <si>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</si>
  <si>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</si>
  <si>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</si>
  <si>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</si>
  <si>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</si>
  <si>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</si>
  <si>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</si>
  <si>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</si>
  <si>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</si>
  <si>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</si>
  <si>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</si>
  <si>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</si>
  <si>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</si>
  <si>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</si>
  <si>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</si>
  <si>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</si>
  <si>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</si>
  <si>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</si>
  <si>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</si>
  <si>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</si>
  <si>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</si>
  <si>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</si>
  <si>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</si>
  <si>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</si>
  <si>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</si>
  <si>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</si>
  <si>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</si>
  <si>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</si>
  <si>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</si>
  <si>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</si>
  <si>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</si>
  <si>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</si>
  <si>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</si>
  <si>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</si>
  <si>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</si>
  <si>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</si>
  <si>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</si>
  <si>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</si>
  <si>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</si>
  <si>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</si>
  <si>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</si>
  <si>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</si>
  <si>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</si>
  <si>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</si>
  <si>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</si>
  <si>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</si>
  <si>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</si>
  <si>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</si>
  <si>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</si>
  <si>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</si>
  <si>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</si>
  <si>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</si>
  <si>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</si>
  <si>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</si>
  <si>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</si>
  <si>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</si>
  <si>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</si>
  <si>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</si>
  <si>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</si>
  <si>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</si>
  <si>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</si>
  <si>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</si>
  <si>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</si>
  <si>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</si>
  <si>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</si>
  <si>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</si>
  <si>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</si>
  <si>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</si>
  <si>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</si>
  <si>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</si>
  <si>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</si>
  <si>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</si>
  <si>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</si>
  <si>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</si>
  <si>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</si>
  <si>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</si>
  <si>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</si>
  <si>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</si>
  <si>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</si>
  <si>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</si>
  <si>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</si>
  <si>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</si>
  <si>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</si>
  <si>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</si>
  <si>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</si>
  <si>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</si>
  <si>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</si>
  <si>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</si>
  <si>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</si>
  <si>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</si>
  <si>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</si>
  <si>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</si>
  <si>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</si>
  <si>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</si>
  <si>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</si>
  <si>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</si>
  <si>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</si>
  <si>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</si>
  <si>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</si>
  <si>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</si>
  <si>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</si>
  <si>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</si>
  <si>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</si>
  <si>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</si>
  <si>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</si>
  <si>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</si>
  <si>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</si>
  <si>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</si>
  <si>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</si>
  <si>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</si>
  <si>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</si>
  <si>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</si>
  <si>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</si>
  <si>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</si>
  <si>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</si>
  <si>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</si>
  <si>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</si>
  <si>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</si>
  <si>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</si>
  <si>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</si>
  <si>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</si>
  <si>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</si>
  <si>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</si>
  <si>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</si>
  <si>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</si>
  <si>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</si>
  <si>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</si>
  <si>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</si>
  <si>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</si>
  <si>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</si>
  <si>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</si>
  <si>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</si>
  <si>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</si>
  <si>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</si>
  <si>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</si>
  <si>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</si>
  <si>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</si>
  <si>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</si>
  <si>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</si>
  <si>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</si>
  <si>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</si>
  <si>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</si>
  <si>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</si>
  <si>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</si>
  <si>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</si>
  <si>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</si>
  <si>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</si>
  <si>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</si>
  <si>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</si>
  <si>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</si>
  <si>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</si>
  <si>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</si>
  <si>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</si>
  <si>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</si>
  <si>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</si>
  <si>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</si>
  <si>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</si>
  <si>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</si>
  <si>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</si>
  <si>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</si>
  <si>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</si>
  <si>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</si>
  <si>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</si>
  <si>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</si>
  <si>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</si>
  <si>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</si>
  <si>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</si>
  <si>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</si>
  <si>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</si>
  <si>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</si>
  <si>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</si>
  <si>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</si>
  <si>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</si>
  <si>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</si>
  <si>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</si>
  <si>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</si>
  <si>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</si>
  <si>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</si>
  <si>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</si>
  <si>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</si>
  <si>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</si>
  <si>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</si>
  <si>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</si>
  <si>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</si>
  <si>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</si>
  <si>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</si>
  <si>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</si>
  <si>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</si>
  <si>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</si>
  <si>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</si>
  <si>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</si>
  <si>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</si>
  <si>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</si>
  <si>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</si>
  <si>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</si>
  <si>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</si>
  <si>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</si>
  <si>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</si>
  <si>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</si>
  <si>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</si>
  <si>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</si>
  <si>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</si>
  <si>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</si>
  <si>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</si>
  <si>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</si>
  <si>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</si>
  <si>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</si>
  <si>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</si>
  <si>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</si>
  <si>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</si>
  <si>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</si>
  <si>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</si>
  <si>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</si>
  <si>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</si>
  <si>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</si>
  <si>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</si>
  <si>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</si>
  <si>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</si>
  <si>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</si>
  <si>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</si>
  <si>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</si>
  <si>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</si>
  <si>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</si>
  <si>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</si>
  <si>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</si>
  <si>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</si>
  <si>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</si>
  <si>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</si>
  <si>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</si>
  <si>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</si>
  <si>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</si>
  <si>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</si>
  <si>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</si>
  <si>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</si>
  <si>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</si>
  <si>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</si>
  <si>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</si>
  <si>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</si>
  <si>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</si>
  <si>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</si>
  <si>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</si>
  <si>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</si>
  <si>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</si>
  <si>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</si>
  <si>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</si>
  <si>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</si>
  <si>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</si>
  <si>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</si>
  <si>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</si>
  <si>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</si>
  <si>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</si>
  <si>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</si>
  <si>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</si>
  <si>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</si>
  <si>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</si>
  <si>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</si>
  <si>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</si>
  <si>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</si>
  <si>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</si>
  <si>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</si>
  <si>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</si>
  <si>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</si>
  <si>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</si>
  <si>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</si>
  <si>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</si>
  <si>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</si>
  <si>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</si>
  <si>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</si>
  <si>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</si>
  <si>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</si>
  <si>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</si>
  <si>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</si>
  <si>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</si>
  <si>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</si>
  <si>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</si>
  <si>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</si>
  <si>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</si>
  <si>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</si>
  <si>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</si>
  <si>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</si>
  <si>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</si>
  <si>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</si>
  <si>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</si>
  <si>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</si>
  <si>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</si>
  <si>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</si>
  <si>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</si>
  <si>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</si>
  <si>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</si>
  <si>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</si>
  <si>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</si>
  <si>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</si>
  <si>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</si>
  <si>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</si>
  <si>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</si>
  <si>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</si>
  <si>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</si>
  <si>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</si>
  <si>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</si>
  <si>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</si>
  <si>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</si>
  <si>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</si>
  <si>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</si>
  <si>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</si>
  <si>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</si>
  <si>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</si>
  <si>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</si>
  <si>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</si>
  <si>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</si>
  <si>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</si>
  <si>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</si>
  <si>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</si>
  <si>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</si>
  <si>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</si>
  <si>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</si>
  <si>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</si>
  <si>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</si>
  <si>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</si>
  <si>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</si>
  <si>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</si>
  <si>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</si>
  <si>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</si>
  <si>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</si>
  <si>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</si>
  <si>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</si>
  <si>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</si>
  <si>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</si>
  <si>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</si>
  <si>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</si>
  <si>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</si>
  <si>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</si>
  <si>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</si>
  <si>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</si>
  <si>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</si>
  <si>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</si>
  <si>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</si>
  <si>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</si>
  <si>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</si>
  <si>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</si>
  <si>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</si>
  <si>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</si>
  <si>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</si>
  <si>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</si>
  <si>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</si>
  <si>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</si>
  <si>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</si>
  <si>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</si>
  <si>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</si>
  <si>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</si>
  <si>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</si>
  <si>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</si>
  <si>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</si>
  <si>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</si>
  <si>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</si>
  <si>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</si>
  <si>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</si>
  <si>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</si>
  <si>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</si>
  <si>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</si>
  <si>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</si>
  <si>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</si>
  <si>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</si>
  <si>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</si>
  <si>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</si>
  <si>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</si>
  <si>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</si>
  <si>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</si>
  <si>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</si>
  <si>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</si>
  <si>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</si>
  <si>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</si>
  <si>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</si>
  <si>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</si>
  <si>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</si>
  <si>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</si>
  <si>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</si>
  <si>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</si>
  <si>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</si>
  <si>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</si>
  <si>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</si>
  <si>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</si>
  <si>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</si>
  <si>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</si>
  <si>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</si>
  <si>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</si>
  <si>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</si>
  <si>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</si>
  <si>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</si>
  <si>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</si>
  <si>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</si>
  <si>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</si>
  <si>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</si>
  <si>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</si>
  <si>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</si>
  <si>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</si>
  <si>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</si>
  <si>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</si>
  <si>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</si>
  <si>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</si>
  <si>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</si>
  <si>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</si>
  <si>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</si>
  <si>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</si>
  <si>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</si>
  <si>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</si>
  <si>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</si>
  <si>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</si>
  <si>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</si>
  <si>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</si>
  <si>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</si>
  <si>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</si>
  <si>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</si>
  <si>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</si>
  <si>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</si>
  <si>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</si>
  <si>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</si>
  <si>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</si>
  <si>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</si>
  <si>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</si>
  <si>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</si>
  <si>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</si>
  <si>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</si>
  <si>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</si>
  <si>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</si>
  <si>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</si>
  <si>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</si>
  <si>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</si>
  <si>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</si>
  <si>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</si>
  <si>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</si>
  <si>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</si>
  <si>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</si>
  <si>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</si>
  <si>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</si>
  <si>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</si>
  <si>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</si>
  <si>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</si>
  <si>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</si>
  <si>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</si>
  <si>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</si>
  <si>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</si>
  <si>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</si>
  <si>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</si>
  <si>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</si>
  <si>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</si>
  <si>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</si>
  <si>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</si>
  <si>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</si>
  <si>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</si>
  <si>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</si>
  <si>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</si>
  <si>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</si>
  <si>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</si>
  <si>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</si>
  <si>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</si>
  <si>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</si>
  <si>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</si>
  <si>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</si>
  <si>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</si>
  <si>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</si>
  <si>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</si>
  <si>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</si>
  <si>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</si>
  <si>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</si>
  <si>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</si>
  <si>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</si>
  <si>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</si>
  <si>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</si>
  <si>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</si>
  <si>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</si>
  <si>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</si>
  <si>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</si>
  <si>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</si>
  <si>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</si>
  <si>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</si>
  <si>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</si>
  <si>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</si>
  <si>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</si>
  <si>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</si>
  <si>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</si>
  <si>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</si>
  <si>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</si>
  <si>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</si>
  <si>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</si>
  <si>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</si>
  <si>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</si>
  <si>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</si>
  <si>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</si>
  <si>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</si>
  <si>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</si>
  <si>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</si>
  <si>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</si>
  <si>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</si>
  <si>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</si>
  <si>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</si>
  <si>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</si>
  <si>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</si>
  <si>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</si>
  <si>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</si>
  <si>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</si>
  <si>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</si>
  <si>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</si>
  <si>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</si>
  <si>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</si>
  <si>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</si>
  <si>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</si>
  <si>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</si>
  <si>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</si>
  <si>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</si>
  <si>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</si>
  <si>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</si>
  <si>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</si>
  <si>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</si>
  <si>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</si>
  <si>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</si>
  <si>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</si>
  <si>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</si>
  <si>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</si>
  <si>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</si>
  <si>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</si>
  <si>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</si>
  <si>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</si>
  <si>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</si>
  <si>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</si>
  <si>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</si>
  <si>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</si>
  <si>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</si>
  <si>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</si>
  <si>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</si>
  <si>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</si>
  <si>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</si>
  <si>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</si>
  <si>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</si>
  <si>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</si>
  <si>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</si>
  <si>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</si>
  <si>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</si>
  <si>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</si>
  <si>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</si>
  <si>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</si>
  <si>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</si>
  <si>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</si>
  <si>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</si>
  <si>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</si>
  <si>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</si>
  <si>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</si>
  <si>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</si>
  <si>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</si>
  <si>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</si>
  <si>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</si>
  <si>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</si>
  <si>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</si>
  <si>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</si>
  <si>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</si>
  <si>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</si>
  <si>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</si>
  <si>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</si>
  <si>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</si>
  <si>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</si>
  <si>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</si>
  <si>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</si>
  <si>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</si>
  <si>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</si>
  <si>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</si>
  <si>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</si>
  <si>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</si>
  <si>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</si>
  <si>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</si>
  <si>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</si>
  <si>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</si>
  <si>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</si>
  <si>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</si>
  <si>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</si>
  <si>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</si>
  <si>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</si>
  <si>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</si>
  <si>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</si>
  <si>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</si>
  <si>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</si>
  <si>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</si>
  <si>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</si>
  <si>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</si>
  <si>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</si>
  <si>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</si>
  <si>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</si>
  <si>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</si>
  <si>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</si>
  <si>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</si>
  <si>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</si>
  <si>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</si>
  <si>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</si>
  <si>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</si>
  <si>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</si>
  <si>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</si>
  <si>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</si>
  <si>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</si>
  <si>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</si>
  <si>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</si>
  <si>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</si>
  <si>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</si>
  <si>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</si>
  <si>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</si>
  <si>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</si>
  <si>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</si>
  <si>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</si>
  <si>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</si>
  <si>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</si>
  <si>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</si>
  <si>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</si>
  <si>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</si>
  <si>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</si>
  <si>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</si>
  <si>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</si>
  <si>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</si>
  <si>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</si>
  <si>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</si>
  <si>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</si>
  <si>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</si>
  <si>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</si>
  <si>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</si>
  <si>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</si>
  <si>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</si>
  <si>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</si>
  <si>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</si>
  <si>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</si>
  <si>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</si>
  <si>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</si>
  <si>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</si>
  <si>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</si>
  <si>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</si>
  <si>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</si>
  <si>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</si>
  <si>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</si>
  <si>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</si>
  <si>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</si>
  <si>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</si>
  <si>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</si>
  <si>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</si>
  <si>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</si>
  <si>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</si>
  <si>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</si>
  <si>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</si>
  <si>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</si>
  <si>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</si>
  <si>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</si>
  <si>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</si>
  <si>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</si>
  <si>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</si>
  <si>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</si>
  <si>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</si>
  <si>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</si>
  <si>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</si>
  <si>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</si>
  <si>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</si>
  <si>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</si>
  <si>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</si>
  <si>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</si>
  <si>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</si>
  <si>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</si>
  <si>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</si>
  <si>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</si>
  <si>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</si>
  <si>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</si>
  <si>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</si>
  <si>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</si>
  <si>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</si>
  <si>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</si>
  <si>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</si>
  <si>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</si>
  <si>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</si>
  <si>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</si>
  <si>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</si>
  <si>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</si>
  <si>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</si>
  <si>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</si>
  <si>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</si>
  <si>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</si>
  <si>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</si>
  <si>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</si>
  <si>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</si>
  <si>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</si>
  <si>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</si>
  <si>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</si>
  <si>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</si>
  <si>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</si>
  <si>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</si>
  <si>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</si>
  <si>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</si>
  <si>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</si>
  <si>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</si>
  <si>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</si>
  <si>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</si>
  <si>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</si>
  <si>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</si>
  <si>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</si>
  <si>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</si>
  <si>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</si>
  <si>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</si>
  <si>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</si>
  <si>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</si>
  <si>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</si>
  <si>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</si>
  <si>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</si>
  <si>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</si>
  <si>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</si>
  <si>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</si>
  <si>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</si>
  <si>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</si>
  <si>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</si>
  <si>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</si>
  <si>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</si>
  <si>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</si>
  <si>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</si>
  <si>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</si>
  <si>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</si>
  <si>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</si>
  <si>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</si>
  <si>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</si>
  <si>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</si>
  <si>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</si>
  <si>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</si>
  <si>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</si>
  <si>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</si>
  <si>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</si>
  <si>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</si>
  <si>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</si>
  <si>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</si>
  <si>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</si>
  <si>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</si>
  <si>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</si>
  <si>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</si>
  <si>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</si>
  <si>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</si>
  <si>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</si>
  <si>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</si>
  <si>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</si>
  <si>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</si>
  <si>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</si>
  <si>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</si>
  <si>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</si>
  <si>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</si>
  <si>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</si>
  <si>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</si>
  <si>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</si>
  <si>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</si>
  <si>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</si>
  <si>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</si>
  <si>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</si>
  <si>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</si>
  <si>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</si>
  <si>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</si>
  <si>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</si>
  <si>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</si>
  <si>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</si>
  <si>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</si>
  <si>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</si>
  <si>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</si>
  <si>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</si>
  <si>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</si>
  <si>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</si>
  <si>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</si>
  <si>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</si>
  <si>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</si>
  <si>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</si>
  <si>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</si>
  <si>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</si>
  <si>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</si>
  <si>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</si>
  <si>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</si>
  <si>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</si>
  <si>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</si>
  <si>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</si>
  <si>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</si>
  <si>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</si>
  <si>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</si>
  <si>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</si>
  <si>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</si>
  <si>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</si>
  <si>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</si>
  <si>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</si>
  <si>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</si>
  <si>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</si>
  <si>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</si>
  <si>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</si>
  <si>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</si>
  <si>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</si>
  <si>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</si>
  <si>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</si>
  <si>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</si>
  <si>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</si>
  <si>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</si>
  <si>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</si>
  <si>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</si>
  <si>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</si>
  <si>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</si>
  <si>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</si>
  <si>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</si>
  <si>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</si>
  <si>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</si>
  <si>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</si>
  <si>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</si>
  <si>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</si>
  <si>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</si>
  <si>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</si>
  <si>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</si>
  <si>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</si>
  <si>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</si>
  <si>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</si>
  <si>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</si>
  <si>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</si>
  <si>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</si>
  <si>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</si>
  <si>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</si>
  <si>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</si>
  <si>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</si>
  <si>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</si>
  <si>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</si>
  <si>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</si>
  <si>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</si>
  <si>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</si>
  <si>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</si>
  <si>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</si>
  <si>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</si>
  <si>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</si>
  <si>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</si>
  <si>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</si>
  <si>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</si>
  <si>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</si>
  <si>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</si>
  <si>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</si>
  <si>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</si>
  <si>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</si>
  <si>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</si>
  <si>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</si>
  <si>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</si>
  <si>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</si>
  <si>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</si>
  <si>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</si>
  <si>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</si>
  <si>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</si>
  <si>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</si>
  <si>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</si>
  <si>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</si>
  <si>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</si>
  <si>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</si>
  <si>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</si>
  <si>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</si>
  <si>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</si>
  <si>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</si>
  <si>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</si>
  <si>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</si>
  <si>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</si>
  <si>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</si>
  <si>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</si>
  <si>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</si>
  <si>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</si>
  <si>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</si>
  <si>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</si>
  <si>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</si>
  <si>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</si>
  <si>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</si>
  <si>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</si>
  <si>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</si>
  <si>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</si>
  <si>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</si>
  <si>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</si>
  <si>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</si>
  <si>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</si>
  <si>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</si>
  <si>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</si>
  <si>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</si>
  <si>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</si>
  <si>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</si>
  <si>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</si>
  <si>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</si>
  <si>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</si>
  <si>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</si>
  <si>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</si>
  <si>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</si>
  <si>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</si>
  <si>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</si>
  <si>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</si>
  <si>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</si>
  <si>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</si>
  <si>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</si>
  <si>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</si>
  <si>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</si>
  <si>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</si>
  <si>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</si>
  <si>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</si>
  <si>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</si>
  <si>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</si>
  <si>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</si>
  <si>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</si>
  <si>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</si>
  <si>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</si>
  <si>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</si>
  <si>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</si>
  <si>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</si>
  <si>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</si>
  <si>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</si>
  <si>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</si>
  <si>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</si>
  <si>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</si>
  <si>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</si>
  <si>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</si>
  <si>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</si>
  <si>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</si>
  <si>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</si>
  <si>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</si>
  <si>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</si>
  <si>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</si>
  <si>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</si>
  <si>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</si>
  <si>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</si>
  <si>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</si>
  <si>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</si>
  <si>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</si>
  <si>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</si>
  <si>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</si>
  <si>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</si>
  <si>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</si>
  <si>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</si>
  <si>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</si>
  <si>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</si>
  <si>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</si>
  <si>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</si>
  <si>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</si>
  <si>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</si>
  <si>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</si>
  <si>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</si>
  <si>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</si>
  <si>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</si>
  <si>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</si>
  <si>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</si>
  <si>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</si>
  <si>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</si>
  <si>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</si>
  <si>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</si>
  <si>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</si>
  <si>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</si>
  <si>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</si>
  <si>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</si>
  <si>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</si>
  <si>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</si>
  <si>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</si>
  <si>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</si>
  <si>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</si>
  <si>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</si>
  <si>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</si>
  <si>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</si>
  <si>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</si>
  <si>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</si>
  <si>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</si>
  <si>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</si>
  <si>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</si>
  <si>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</si>
  <si>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</si>
  <si>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</si>
  <si>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</si>
  <si>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</si>
  <si>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</si>
  <si>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</si>
  <si>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</si>
  <si>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</si>
  <si>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</si>
  <si>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</si>
  <si>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</si>
  <si>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</si>
  <si>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</si>
  <si>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</si>
  <si>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</si>
  <si>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</si>
  <si>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</si>
  <si>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</si>
  <si>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</si>
  <si>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</si>
  <si>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</si>
  <si>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</si>
  <si>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</si>
  <si>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</si>
  <si>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</si>
  <si>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</si>
  <si>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</si>
  <si>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</si>
  <si>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</si>
  <si>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</si>
  <si>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</si>
  <si>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</si>
  <si>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</si>
  <si>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</si>
  <si>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</si>
  <si>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</si>
  <si>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</si>
  <si>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</si>
  <si>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</si>
  <si>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</si>
  <si>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</si>
  <si>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</si>
  <si>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</si>
  <si>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</si>
  <si>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</si>
  <si>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</si>
  <si>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</si>
  <si>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</si>
  <si>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</si>
  <si>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</si>
  <si>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</si>
  <si>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</si>
  <si>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</si>
  <si>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</si>
  <si>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</si>
  <si>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</si>
  <si>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</si>
  <si>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</si>
  <si>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</si>
  <si>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</si>
  <si>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</si>
  <si>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</si>
  <si>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</si>
  <si>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</si>
  <si>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</si>
  <si>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</si>
  <si>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</si>
  <si>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</si>
  <si>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</si>
  <si>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</si>
  <si>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</si>
  <si>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</si>
  <si>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</si>
  <si>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</si>
  <si>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</si>
  <si>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</si>
  <si>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</si>
  <si>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</si>
  <si>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</si>
  <si>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</si>
  <si>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</si>
  <si>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</si>
  <si>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</si>
  <si>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</si>
  <si>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</si>
  <si>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</si>
  <si>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</si>
  <si>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</si>
  <si>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</si>
  <si>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</si>
  <si>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</si>
  <si>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</si>
  <si>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</si>
  <si>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</si>
  <si>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</si>
  <si>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</si>
  <si>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</si>
  <si>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</si>
  <si>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</si>
  <si>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</si>
  <si>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</si>
  <si>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</si>
  <si>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</si>
  <si>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</si>
  <si>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</si>
  <si>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</si>
  <si>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</si>
  <si>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</si>
  <si>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</si>
  <si>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</si>
  <si>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</si>
  <si>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</si>
  <si>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</si>
  <si>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</si>
  <si>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</si>
  <si>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</si>
  <si>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</si>
  <si>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</si>
  <si>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</si>
  <si>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</si>
  <si>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</si>
  <si>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</si>
  <si>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</si>
  <si>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</si>
  <si>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</si>
  <si>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</si>
  <si>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</si>
  <si>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</si>
  <si>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</si>
  <si>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</si>
  <si>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</si>
  <si>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</si>
  <si>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</si>
  <si>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</si>
  <si>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</si>
  <si>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</si>
  <si>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</si>
  <si>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</si>
  <si>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</si>
  <si>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</si>
  <si>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</si>
  <si>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</si>
  <si>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</si>
  <si>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</si>
  <si>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</si>
  <si>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</si>
  <si>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</si>
  <si>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</si>
  <si>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</si>
  <si>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</si>
  <si>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</si>
  <si>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</si>
  <si>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</si>
  <si>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</si>
  <si>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</si>
  <si>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</si>
  <si>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</si>
  <si>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</si>
  <si>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</si>
  <si>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</si>
  <si>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</si>
  <si>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</si>
  <si>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</si>
  <si>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</si>
  <si>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</si>
  <si>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</si>
  <si>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</si>
  <si>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</si>
  <si>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</si>
  <si>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</si>
  <si>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</si>
  <si>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</si>
  <si>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</si>
  <si>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</si>
  <si>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</si>
  <si>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</si>
  <si>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</si>
  <si>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</si>
  <si>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</si>
  <si>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</si>
  <si>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</si>
  <si>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</si>
  <si>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</si>
  <si>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</si>
  <si>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</si>
  <si>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</si>
  <si>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</si>
  <si>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</si>
  <si>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</si>
  <si>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</si>
  <si>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</si>
  <si>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</si>
  <si>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</si>
  <si>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</si>
  <si>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</si>
  <si>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</si>
  <si>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</si>
  <si>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</si>
  <si>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</si>
  <si>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</si>
  <si>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</si>
  <si>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</si>
  <si>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</si>
  <si>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</si>
  <si>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</si>
  <si>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</si>
  <si>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</si>
  <si>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</si>
  <si>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</si>
  <si>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</si>
  <si>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</si>
  <si>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</si>
  <si>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</si>
  <si>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</si>
  <si>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</si>
  <si>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</si>
  <si>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</si>
  <si>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</si>
  <si>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</si>
  <si>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</si>
  <si>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</si>
  <si>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</si>
  <si>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</si>
  <si>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</si>
  <si>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</si>
  <si>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</si>
  <si>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</si>
  <si>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</si>
  <si>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</si>
  <si>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</si>
  <si>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</si>
  <si>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</si>
  <si>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</si>
  <si>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</si>
  <si>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</si>
  <si>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</si>
  <si>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</si>
  <si>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</si>
  <si>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</si>
  <si>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</si>
  <si>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</si>
  <si>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</si>
  <si>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</si>
  <si>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</si>
  <si>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</si>
  <si>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</si>
  <si>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</si>
  <si>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</si>
  <si>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</si>
  <si>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</si>
  <si>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</si>
  <si>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</si>
  <si>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</si>
  <si>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</si>
  <si>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</si>
  <si>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</si>
  <si>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</si>
  <si>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</si>
  <si>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</si>
  <si>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</si>
  <si>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</si>
  <si>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</si>
  <si>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</si>
  <si>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</si>
  <si>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</si>
  <si>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</si>
  <si>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</si>
  <si>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</si>
  <si>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</si>
  <si>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</si>
  <si>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</si>
  <si>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</si>
  <si>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</si>
  <si>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</si>
  <si>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</si>
  <si>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</si>
  <si>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</si>
  <si>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</si>
  <si>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</si>
  <si>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</si>
  <si>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</si>
  <si>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</si>
  <si>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</si>
  <si>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</si>
  <si>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</si>
  <si>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</si>
  <si>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</si>
  <si>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</si>
  <si>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</si>
  <si>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</si>
  <si>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</si>
  <si>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</si>
  <si>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</si>
  <si>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</si>
  <si>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</si>
  <si>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</si>
  <si>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</si>
  <si>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</si>
  <si>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</si>
  <si>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</si>
  <si>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</si>
  <si>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</si>
  <si>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</si>
  <si>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</si>
  <si>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</si>
  <si>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</si>
  <si>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</si>
  <si>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</si>
  <si>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</si>
  <si>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</si>
  <si>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</si>
  <si>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</si>
  <si>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</si>
  <si>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</si>
  <si>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</si>
  <si>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</si>
  <si>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</si>
  <si>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</si>
  <si>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</si>
  <si>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</si>
  <si>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</si>
  <si>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</si>
  <si>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</si>
  <si>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</si>
  <si>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</si>
  <si>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</si>
  <si>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</si>
  <si>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</si>
  <si>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</si>
  <si>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</si>
  <si>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</si>
  <si>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</si>
  <si>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</si>
  <si>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</si>
  <si>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</si>
  <si>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</si>
  <si>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</si>
  <si>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</si>
  <si>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</si>
  <si>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</si>
  <si>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</si>
  <si>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</si>
  <si>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</si>
  <si>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</si>
  <si>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</si>
  <si>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</si>
  <si>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</si>
  <si>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</si>
  <si>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</si>
  <si>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</si>
  <si>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</si>
  <si>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</si>
  <si>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</si>
  <si>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</si>
  <si>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</si>
  <si>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</si>
  <si>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</si>
  <si>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</si>
  <si>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</si>
  <si>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</si>
  <si>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</si>
  <si>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</si>
  <si>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</si>
  <si>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</si>
  <si>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</si>
  <si>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</si>
  <si>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</si>
  <si>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</si>
  <si>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</si>
  <si>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</si>
  <si>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</si>
  <si>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</si>
  <si>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</si>
  <si>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</si>
  <si>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</si>
  <si>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</si>
  <si>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</si>
  <si>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</si>
  <si>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</si>
  <si>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</si>
  <si>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</si>
  <si>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</si>
  <si>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</si>
  <si>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</si>
  <si>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</si>
  <si>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</si>
  <si>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</si>
  <si>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</si>
  <si>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</si>
  <si>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</si>
  <si>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</si>
  <si>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</si>
  <si>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</si>
  <si>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</si>
  <si>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</si>
  <si>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</si>
  <si>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</si>
  <si>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</si>
  <si>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</si>
  <si>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</si>
  <si>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</si>
  <si>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</si>
  <si>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</si>
  <si>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</si>
  <si>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</si>
  <si>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</si>
  <si>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</si>
  <si>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</si>
  <si>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</si>
  <si>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</si>
  <si>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</si>
  <si>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</si>
  <si>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</si>
  <si>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</si>
  <si>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</si>
  <si>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</si>
  <si>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</si>
  <si>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</si>
  <si>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</si>
  <si>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</si>
  <si>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</si>
  <si>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</si>
  <si>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</si>
  <si>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</si>
  <si>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</si>
  <si>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</si>
  <si>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</si>
  <si>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</si>
  <si>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</si>
  <si>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</si>
  <si>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</si>
  <si>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</si>
  <si>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</si>
  <si>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</si>
  <si>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</si>
  <si>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</si>
  <si>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</si>
  <si>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</si>
  <si>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</si>
  <si>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</si>
  <si>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</si>
  <si>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</si>
  <si>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</si>
  <si>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</si>
  <si>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</si>
  <si>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</si>
  <si>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</si>
  <si>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</si>
  <si>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</si>
  <si>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</si>
  <si>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</si>
  <si>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</si>
  <si>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</si>
  <si>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</si>
  <si>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</si>
  <si>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</si>
  <si>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</si>
  <si>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</si>
  <si>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</si>
  <si>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</si>
  <si>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</si>
  <si>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</si>
  <si>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</si>
  <si>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</si>
  <si>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</si>
  <si>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</si>
  <si>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</si>
  <si>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</si>
  <si>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</si>
  <si>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</si>
  <si>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</si>
  <si>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</si>
  <si>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</si>
  <si>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</si>
  <si>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</si>
  <si>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</si>
  <si>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</si>
  <si>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</si>
  <si>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</si>
  <si>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</si>
  <si>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</si>
  <si>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</si>
  <si>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</si>
  <si>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</si>
  <si>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</si>
  <si>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</si>
  <si>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</si>
  <si>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</si>
  <si>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</si>
  <si>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</si>
  <si>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</si>
  <si>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</si>
  <si>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</si>
  <si>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</si>
  <si>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</si>
  <si>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</si>
  <si>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</si>
  <si>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</si>
  <si>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</si>
  <si>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</si>
  <si>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</si>
  <si>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</si>
  <si>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</si>
  <si>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</si>
  <si>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</si>
  <si>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</si>
  <si>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</si>
  <si>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</si>
  <si>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</si>
  <si>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</si>
  <si>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</si>
  <si>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</si>
  <si>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</si>
  <si>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</si>
  <si>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</si>
  <si>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</si>
  <si>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</si>
  <si>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</si>
  <si>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</si>
  <si>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</si>
  <si>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</si>
  <si>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</si>
  <si>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</si>
  <si>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</si>
  <si>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</si>
  <si>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</si>
  <si>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</si>
  <si>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</si>
  <si>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</si>
  <si>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</si>
  <si>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</si>
  <si>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</si>
  <si>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</si>
  <si>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</si>
  <si>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</si>
  <si>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</si>
  <si>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</si>
  <si>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</si>
  <si>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</si>
  <si>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</si>
  <si>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</si>
  <si>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</si>
  <si>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</si>
  <si>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</si>
  <si>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</si>
  <si>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</si>
  <si>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</si>
  <si>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</si>
  <si>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</si>
  <si>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</si>
  <si>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</si>
  <si>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</si>
  <si>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</si>
  <si>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</si>
  <si>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</si>
  <si>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</si>
  <si>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</si>
  <si>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</si>
  <si>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</si>
  <si>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</si>
  <si>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</si>
  <si>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</si>
  <si>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</si>
  <si>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</si>
  <si>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</si>
  <si>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</si>
  <si>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</si>
  <si>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</si>
  <si>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</si>
  <si>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</si>
  <si>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</si>
  <si>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</si>
  <si>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</si>
  <si>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</si>
  <si>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</si>
  <si>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</si>
  <si>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</si>
  <si>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</si>
  <si>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</si>
  <si>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</si>
  <si>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</si>
  <si>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</si>
  <si>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</si>
  <si>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</si>
  <si>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</si>
  <si>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</si>
  <si>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</si>
  <si>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</si>
  <si>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</si>
  <si>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</si>
  <si>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</si>
  <si>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</si>
  <si>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</si>
  <si>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</si>
  <si>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</si>
  <si>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</si>
  <si>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</si>
  <si>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</si>
  <si>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</si>
  <si>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</si>
  <si>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</si>
  <si>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</si>
  <si>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</si>
  <si>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</si>
  <si>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</si>
  <si>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</si>
  <si>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</si>
  <si>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</si>
  <si>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</si>
  <si>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</si>
  <si>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</si>
  <si>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</si>
  <si>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</si>
  <si>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</si>
  <si>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</si>
  <si>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</si>
  <si>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</si>
  <si>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</si>
  <si>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</si>
  <si>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</si>
  <si>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</si>
  <si>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</si>
  <si>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</si>
  <si>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</si>
  <si>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</si>
  <si>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</si>
  <si>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</si>
  <si>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</si>
  <si>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</si>
  <si>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</si>
  <si>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</si>
  <si>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</si>
  <si>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</si>
  <si>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</si>
  <si>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</si>
  <si>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</si>
  <si>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</si>
  <si>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</si>
  <si>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</si>
  <si>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</si>
  <si>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</si>
  <si>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</si>
  <si>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</si>
  <si>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</si>
  <si>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</si>
  <si>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</si>
  <si>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</si>
  <si>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</si>
  <si>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</si>
  <si>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</si>
  <si>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</si>
  <si>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</si>
  <si>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</si>
  <si>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</si>
  <si>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</si>
  <si>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</si>
  <si>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</si>
  <si>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</si>
  <si>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</si>
  <si>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</si>
  <si>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</si>
  <si>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</si>
  <si>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</si>
  <si>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</si>
  <si>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</si>
  <si>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</si>
  <si>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</si>
  <si>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</si>
  <si>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</si>
  <si>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</si>
  <si>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</si>
  <si>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</si>
  <si>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</si>
  <si>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</si>
  <si>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</si>
  <si>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</si>
  <si>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</si>
  <si>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</si>
  <si>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</si>
  <si>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</si>
  <si>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</si>
  <si>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</si>
  <si>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</si>
  <si>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</si>
  <si>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</si>
  <si>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</si>
  <si>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</si>
  <si>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</si>
  <si>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</si>
  <si>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</si>
  <si>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</si>
  <si>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</si>
  <si>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</si>
  <si>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</si>
  <si>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</si>
  <si>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</si>
  <si>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</si>
  <si>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</si>
  <si>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</si>
  <si>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</si>
  <si>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</si>
  <si>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</si>
  <si>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</si>
  <si>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</si>
  <si>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</si>
  <si>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</si>
  <si>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</si>
  <si>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</si>
  <si>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</si>
  <si>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</si>
  <si>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</si>
  <si>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</si>
  <si>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</si>
  <si>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</si>
  <si>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</si>
  <si>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</si>
  <si>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</si>
  <si>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</si>
  <si>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</si>
  <si>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</si>
  <si>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</si>
  <si>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</si>
  <si>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</si>
  <si>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</si>
  <si>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</si>
  <si>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</si>
  <si>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</si>
  <si>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</si>
  <si>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</si>
  <si>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</si>
  <si>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</si>
  <si>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</si>
  <si>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</si>
  <si>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</si>
  <si>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</si>
  <si>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</si>
  <si>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</si>
  <si>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</si>
  <si>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</si>
  <si>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</si>
  <si>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</si>
  <si>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</si>
  <si>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</si>
  <si>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</si>
  <si>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</si>
  <si>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</si>
  <si>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</si>
  <si>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</si>
  <si>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</si>
  <si>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</si>
  <si>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</si>
  <si>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</si>
  <si>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</si>
  <si>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</si>
  <si>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</si>
  <si>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</si>
  <si>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</si>
  <si>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</si>
  <si>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</si>
  <si>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</si>
  <si>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</si>
  <si>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</si>
  <si>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</si>
  <si>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</si>
  <si>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</si>
  <si>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</si>
  <si>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</si>
  <si>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</si>
  <si>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</si>
  <si>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</si>
  <si>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</si>
  <si>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</si>
  <si>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</si>
  <si>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</si>
  <si>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</si>
  <si>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</si>
  <si>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</si>
  <si>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</si>
  <si>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</si>
  <si>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</si>
  <si>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</si>
  <si>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</si>
  <si>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</si>
  <si>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</si>
  <si>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</si>
  <si>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</si>
  <si>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</si>
  <si>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</si>
  <si>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</si>
  <si>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</si>
  <si>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</si>
  <si>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</si>
  <si>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</si>
  <si>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</si>
  <si>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</si>
  <si>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</si>
  <si>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</si>
  <si>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</si>
  <si>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</si>
  <si>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</si>
  <si>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</si>
  <si>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</si>
  <si>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</si>
  <si>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</si>
  <si>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</si>
  <si>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</si>
  <si>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</si>
  <si>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</si>
  <si>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</si>
  <si>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</si>
  <si>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</si>
  <si>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</si>
  <si>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</si>
  <si>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</si>
  <si>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</si>
  <si>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</si>
  <si>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</si>
  <si>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</si>
  <si>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</si>
  <si>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</si>
  <si>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</si>
  <si>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</si>
  <si>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</si>
  <si>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</si>
  <si>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</si>
  <si>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</si>
  <si>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</si>
  <si>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</si>
  <si>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</si>
  <si>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</si>
  <si>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</si>
  <si>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</si>
  <si>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</si>
  <si>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</si>
  <si>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</si>
  <si>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</si>
  <si>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</si>
  <si>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</si>
  <si>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</si>
  <si>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</si>
  <si>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</si>
  <si>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</si>
  <si>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</si>
  <si>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</si>
  <si>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</si>
  <si>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</si>
  <si>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</si>
  <si>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</si>
  <si>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</si>
  <si>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</si>
  <si>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</si>
  <si>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</si>
  <si>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</si>
  <si>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</si>
  <si>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</si>
  <si>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</si>
  <si>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</si>
  <si>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</si>
  <si>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</si>
  <si>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</si>
  <si>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</si>
  <si>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</si>
  <si>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</si>
  <si>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</si>
  <si>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</si>
  <si>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</si>
  <si>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</si>
  <si>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</si>
  <si>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</si>
  <si>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</si>
  <si>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</si>
  <si>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</si>
  <si>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</si>
  <si>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</si>
  <si>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</si>
  <si>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</si>
  <si>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</si>
  <si>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</si>
  <si>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</si>
  <si>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</si>
  <si>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</si>
  <si>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</si>
  <si>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</si>
  <si>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</si>
  <si>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</si>
  <si>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</si>
  <si>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</si>
  <si>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</si>
  <si>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</si>
  <si>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</si>
  <si>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</si>
  <si>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</si>
  <si>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</si>
  <si>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</si>
  <si>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</si>
  <si>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</si>
  <si>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</si>
  <si>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</si>
  <si>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</si>
  <si>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</si>
  <si>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</si>
  <si>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</si>
  <si>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</si>
  <si>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</si>
  <si>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</si>
  <si>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</si>
  <si>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</si>
  <si>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</si>
  <si>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</si>
  <si>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</si>
  <si>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</si>
  <si>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</si>
  <si>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</si>
  <si>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</si>
  <si>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</si>
  <si>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</si>
  <si>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</si>
  <si>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</si>
  <si>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</si>
  <si>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</si>
  <si>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</si>
  <si>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</si>
  <si>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</si>
  <si>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</si>
  <si>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</si>
  <si>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</si>
  <si>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</si>
  <si>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</si>
  <si>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</si>
  <si>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</si>
  <si>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</si>
  <si>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</si>
  <si>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</si>
  <si>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</si>
  <si>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</si>
  <si>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</si>
  <si>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</si>
  <si>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</si>
  <si>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</si>
  <si>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</si>
  <si>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</si>
  <si>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</si>
  <si>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</si>
  <si>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</si>
  <si>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</si>
  <si>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</si>
  <si>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</si>
  <si>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</si>
  <si>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</si>
  <si>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</si>
  <si>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</si>
  <si>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</si>
  <si>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</si>
  <si>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</si>
  <si>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</si>
  <si>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</si>
  <si>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</si>
  <si>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</si>
  <si>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</si>
  <si>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</si>
  <si>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</si>
  <si>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</si>
  <si>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</si>
  <si>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</si>
  <si>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</si>
  <si>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</si>
  <si>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</si>
  <si>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</si>
  <si>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</si>
  <si>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</si>
  <si>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</si>
  <si>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</si>
  <si>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</si>
  <si>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</si>
  <si>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</si>
  <si>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</si>
  <si>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</si>
  <si>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</si>
  <si>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</si>
  <si>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</si>
  <si>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</si>
  <si>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</si>
  <si>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</si>
  <si>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</si>
  <si>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</si>
  <si>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</si>
  <si>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</si>
  <si>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</si>
  <si>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</si>
  <si>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</si>
  <si>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</si>
  <si>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</si>
  <si>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</si>
  <si>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</si>
  <si>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</si>
  <si>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</si>
  <si>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</si>
  <si>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</si>
  <si>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</si>
  <si>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</si>
  <si>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</si>
  <si>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</si>
  <si>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</si>
  <si>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</si>
  <si>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</si>
  <si>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</si>
  <si>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</si>
  <si>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</si>
  <si>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</si>
  <si>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</si>
  <si>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</si>
  <si>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</si>
  <si>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</si>
  <si>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</si>
  <si>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</si>
  <si>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</si>
  <si>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</si>
  <si>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</si>
  <si>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</si>
  <si>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</si>
  <si>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</si>
  <si>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</si>
  <si>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</si>
  <si>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</si>
  <si>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</si>
  <si>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</si>
  <si>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</si>
  <si>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</si>
  <si>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</si>
  <si>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</si>
  <si>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</si>
  <si>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</si>
  <si>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</si>
  <si>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</si>
  <si>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</si>
  <si>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</si>
  <si>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</si>
  <si>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</si>
  <si>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</si>
  <si>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</si>
  <si>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</si>
  <si>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</si>
  <si>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</si>
  <si>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</si>
  <si>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</si>
  <si>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</si>
  <si>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</si>
  <si>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</si>
  <si>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</si>
  <si>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</si>
  <si>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</si>
  <si>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</si>
  <si>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</si>
  <si>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</si>
  <si>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</si>
  <si>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</si>
  <si>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</si>
  <si>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</si>
  <si>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</si>
  <si>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</si>
  <si>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</si>
  <si>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</si>
  <si>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</si>
  <si>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</si>
  <si>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</si>
  <si>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</si>
  <si>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</si>
  <si>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</si>
  <si>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</si>
  <si>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</si>
  <si>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</si>
  <si>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</si>
  <si>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</si>
  <si>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</si>
  <si>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</si>
  <si>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</si>
  <si>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</si>
  <si>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</si>
  <si>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</si>
  <si>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</si>
  <si>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</si>
  <si>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</si>
  <si>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</si>
  <si>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</si>
  <si>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</si>
  <si>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</si>
  <si>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</si>
  <si>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</si>
  <si>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</si>
  <si>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</si>
  <si>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</si>
  <si>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</si>
  <si>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</si>
  <si>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</si>
  <si>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</si>
  <si>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</si>
  <si>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</si>
  <si>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</si>
  <si>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</si>
  <si>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</si>
  <si>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</si>
  <si>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</si>
  <si>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</si>
  <si>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</si>
  <si>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</si>
  <si>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</si>
  <si>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</si>
  <si>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</si>
  <si>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</si>
  <si>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</si>
  <si>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</si>
  <si>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</si>
  <si>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</si>
  <si>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</si>
  <si>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</si>
  <si>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</si>
  <si>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</si>
  <si>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</si>
  <si>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</si>
  <si>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</si>
  <si>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</si>
  <si>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</si>
  <si>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</si>
  <si>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</si>
  <si>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</si>
  <si>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</si>
  <si>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</si>
  <si>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</si>
  <si>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</si>
  <si>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</si>
  <si>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</si>
  <si>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</si>
  <si>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</si>
  <si>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</si>
  <si>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</si>
  <si>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</si>
  <si>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</si>
  <si>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</si>
  <si>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</si>
  <si>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</si>
  <si>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</si>
  <si>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</si>
  <si>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</si>
  <si>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</si>
  <si>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</si>
  <si>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</si>
  <si>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</si>
  <si>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</si>
  <si>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</si>
  <si>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</si>
  <si>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</si>
  <si>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</si>
  <si>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</si>
  <si>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</si>
  <si>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</si>
  <si>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</si>
  <si>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</si>
  <si>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</si>
  <si>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</si>
  <si>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</si>
  <si>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</si>
  <si>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</si>
  <si>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</si>
  <si>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</si>
  <si>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</si>
  <si>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</si>
  <si>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</si>
  <si>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</si>
  <si>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</si>
  <si>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</si>
  <si>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</si>
  <si>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</si>
  <si>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</si>
  <si>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</si>
  <si>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</si>
  <si>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</si>
  <si>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</si>
  <si>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</si>
  <si>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</si>
  <si>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</si>
  <si>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</si>
  <si>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</si>
  <si>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</si>
  <si>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</si>
  <si>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</si>
  <si>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</si>
  <si>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</si>
  <si>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</si>
  <si>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</si>
  <si>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</si>
  <si>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</si>
  <si>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</si>
  <si>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</si>
  <si>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</si>
  <si>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</si>
  <si>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</si>
  <si>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</si>
  <si>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</si>
  <si>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</si>
  <si>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</si>
  <si>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</si>
  <si>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</si>
  <si>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</si>
  <si>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</si>
  <si>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</si>
  <si>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</si>
  <si>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</si>
  <si>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</si>
  <si>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</si>
  <si>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</si>
  <si>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</si>
  <si>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</si>
  <si>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</si>
  <si>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</si>
  <si>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</si>
  <si>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</si>
  <si>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</si>
  <si>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</si>
  <si>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</si>
  <si>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</si>
  <si>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</si>
  <si>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</si>
  <si>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</si>
  <si>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</si>
  <si>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</si>
  <si>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</si>
  <si>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</si>
  <si>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</si>
  <si>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</si>
  <si>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</si>
  <si>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</si>
  <si>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</si>
  <si>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</si>
  <si>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</si>
  <si>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</si>
  <si>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</si>
  <si>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</si>
  <si>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</si>
  <si>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</si>
  <si>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</si>
  <si>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</si>
  <si>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</si>
  <si>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</si>
  <si>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</si>
  <si>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</si>
  <si>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</si>
  <si>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</si>
  <si>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</si>
  <si>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</si>
  <si>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</si>
  <si>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</si>
  <si>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</si>
  <si>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</si>
  <si>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</si>
  <si>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</si>
  <si>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</si>
  <si>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</si>
  <si>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</si>
  <si>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</si>
  <si>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</si>
  <si>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</si>
  <si>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</si>
  <si>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</si>
  <si>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</si>
  <si>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</si>
  <si>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</si>
  <si>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</si>
  <si>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</si>
  <si>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</si>
  <si>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</si>
  <si>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</si>
  <si>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</si>
  <si>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</si>
  <si>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</si>
  <si>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</si>
  <si>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</si>
  <si>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</si>
  <si>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</si>
  <si>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</si>
  <si>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</si>
  <si>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</si>
  <si>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</si>
  <si>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</si>
  <si>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</si>
  <si>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</si>
  <si>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</si>
  <si>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</si>
  <si>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</si>
  <si>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</si>
  <si>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</si>
  <si>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</si>
  <si>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</si>
  <si>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</si>
  <si>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</si>
  <si>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</si>
  <si>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</si>
  <si>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</si>
  <si>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</si>
  <si>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</si>
  <si>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</si>
  <si>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</si>
  <si>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</si>
  <si>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</si>
  <si>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</si>
  <si>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</si>
  <si>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</si>
  <si>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</si>
  <si>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</si>
  <si>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</si>
  <si>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</si>
  <si>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</si>
  <si>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</si>
  <si>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</si>
  <si>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</si>
  <si>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</si>
  <si>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</si>
  <si>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</si>
  <si>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</si>
  <si>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</si>
  <si>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</si>
  <si>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</si>
  <si>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</si>
  <si>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</si>
  <si>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</si>
  <si>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</si>
  <si>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</si>
  <si>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</si>
  <si>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</si>
  <si>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</si>
  <si>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</si>
  <si>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</si>
  <si>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</si>
  <si>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</si>
  <si>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</si>
  <si>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</si>
  <si>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</si>
  <si>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</si>
  <si>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</si>
  <si>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</si>
  <si>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</si>
  <si>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</si>
  <si>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</si>
  <si>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</si>
  <si>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</si>
  <si>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</si>
  <si>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</si>
  <si>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</si>
  <si>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</si>
  <si>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</si>
  <si>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</si>
  <si>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</si>
  <si>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</si>
  <si>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</si>
  <si>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</si>
  <si>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</si>
  <si>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</si>
  <si>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</si>
  <si>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</si>
  <si>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</si>
  <si>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</si>
  <si>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</si>
  <si>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</si>
  <si>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</si>
  <si>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</si>
  <si>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</si>
  <si>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</si>
  <si>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</si>
  <si>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</si>
  <si>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</si>
  <si>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</si>
  <si>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</si>
  <si>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</si>
  <si>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</si>
  <si>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</si>
  <si>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</si>
  <si>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</si>
  <si>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</si>
  <si>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</si>
  <si>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</si>
  <si>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</si>
  <si>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</si>
  <si>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</si>
  <si>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</si>
  <si>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</si>
  <si>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</si>
  <si>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</si>
  <si>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</si>
  <si>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</si>
  <si>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</si>
  <si>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</si>
  <si>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</si>
  <si>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</si>
  <si>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</si>
  <si>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</si>
  <si>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</si>
  <si>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</si>
  <si>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</si>
  <si>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</si>
  <si>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</si>
  <si>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</si>
  <si>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</si>
  <si>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</si>
  <si>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</si>
  <si>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</si>
  <si>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</si>
  <si>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</si>
  <si>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</si>
  <si>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</si>
  <si>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</si>
  <si>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</si>
  <si>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</si>
  <si>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</si>
  <si>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</si>
  <si>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</si>
  <si>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</si>
  <si>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</si>
  <si>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</si>
  <si>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</si>
  <si>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</si>
  <si>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</si>
  <si>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</si>
  <si>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</si>
  <si>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</si>
  <si>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</si>
  <si>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</si>
  <si>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</si>
  <si>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</si>
  <si>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</si>
  <si>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</si>
  <si>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</si>
  <si>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</si>
  <si>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</si>
  <si>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</si>
  <si>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</si>
  <si>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</si>
  <si>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</si>
  <si>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</si>
  <si>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</si>
  <si>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</si>
  <si>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</si>
  <si>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</si>
  <si>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</si>
  <si>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</si>
  <si>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</si>
  <si>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</si>
  <si>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</si>
  <si>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</si>
  <si>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</si>
  <si>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</si>
  <si>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</si>
  <si>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</si>
  <si>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</si>
  <si>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</si>
  <si>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</si>
  <si>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</si>
  <si>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</si>
  <si>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</si>
  <si>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</si>
  <si>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</si>
  <si>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</si>
  <si>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</si>
  <si>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</si>
  <si>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</si>
  <si>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</si>
  <si>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</si>
  <si>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</si>
  <si>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</si>
  <si>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</si>
  <si>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</si>
  <si>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</si>
  <si>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</si>
  <si>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</si>
  <si>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</si>
  <si>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</si>
  <si>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</si>
  <si>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</si>
  <si>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</si>
  <si>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</si>
  <si>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</si>
  <si>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</si>
  <si>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</si>
  <si>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</si>
  <si>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</si>
  <si>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</si>
  <si>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</si>
  <si>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</si>
  <si>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</si>
  <si>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</si>
  <si>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</si>
  <si>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</si>
  <si>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</si>
  <si>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</si>
  <si>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</si>
  <si>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</si>
  <si>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</si>
  <si>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</si>
  <si>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</si>
  <si>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</si>
  <si>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</si>
  <si>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</si>
  <si>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</si>
  <si>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</si>
  <si>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</si>
  <si>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</si>
  <si>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</si>
  <si>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</si>
  <si>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</si>
  <si>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</si>
  <si>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</si>
  <si>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</si>
  <si>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</si>
  <si>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</si>
  <si>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</si>
  <si>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</si>
  <si>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</si>
  <si>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</si>
  <si>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</si>
  <si>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</si>
  <si>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</si>
  <si>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</si>
  <si>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</si>
  <si>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</si>
  <si>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</si>
  <si>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</si>
  <si>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</si>
  <si>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</si>
  <si>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</si>
  <si>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</si>
  <si>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</si>
  <si>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</si>
  <si>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</si>
  <si>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</si>
  <si>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</si>
  <si>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</si>
  <si>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</si>
  <si>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</si>
  <si>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</si>
  <si>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</si>
  <si>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</si>
  <si>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</si>
  <si>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</si>
  <si>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</si>
  <si>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</si>
  <si>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</si>
  <si>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</si>
  <si>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</si>
  <si>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</si>
  <si>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</si>
  <si>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</si>
  <si>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</si>
  <si>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</si>
  <si>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</si>
  <si>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</si>
  <si>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</si>
  <si>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</si>
  <si>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</si>
  <si>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</si>
  <si>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</si>
  <si>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</si>
  <si>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</si>
  <si>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</si>
  <si>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</si>
  <si>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</si>
  <si>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</si>
  <si>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</si>
  <si>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</si>
  <si>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</si>
  <si>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</si>
  <si>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</si>
  <si>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</si>
  <si>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</si>
  <si>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</si>
  <si>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</si>
  <si>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</si>
  <si>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</si>
  <si>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</si>
  <si>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</si>
  <si>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</si>
  <si>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</si>
  <si>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</si>
  <si>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</si>
  <si>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</si>
  <si>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</si>
  <si>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</si>
  <si>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</si>
  <si>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</si>
  <si>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</si>
  <si>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</si>
  <si>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</si>
  <si>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</si>
  <si>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</si>
  <si>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</si>
  <si>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</si>
  <si>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</si>
  <si>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</si>
  <si>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</si>
  <si>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</si>
  <si>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</si>
  <si>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</si>
  <si>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</si>
  <si>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</si>
  <si>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</si>
  <si>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</si>
  <si>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</si>
  <si>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</si>
  <si>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</si>
  <si>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</si>
  <si>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</si>
  <si>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</si>
  <si>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</si>
  <si>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</si>
  <si>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</si>
  <si>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</si>
  <si>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</si>
  <si>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</si>
  <si>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</si>
  <si>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</si>
  <si>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</si>
  <si>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</si>
  <si>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</si>
  <si>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</si>
  <si>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</si>
  <si>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</si>
  <si>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</si>
  <si>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</si>
  <si>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</si>
  <si>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</si>
  <si>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</si>
  <si>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</si>
  <si>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</si>
  <si>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</si>
  <si>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</si>
  <si>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</si>
  <si>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</si>
  <si>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</si>
  <si>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</si>
  <si>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</si>
  <si>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</si>
  <si>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</si>
  <si>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</si>
  <si>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</si>
  <si>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</si>
  <si>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</si>
  <si>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</si>
  <si>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</si>
  <si>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</si>
  <si>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</si>
  <si>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</si>
  <si>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</si>
  <si>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</si>
  <si>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</si>
  <si>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</si>
  <si>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</si>
  <si>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</si>
  <si>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</si>
  <si>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</si>
  <si>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</si>
  <si>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</si>
  <si>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</si>
  <si>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</si>
  <si>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</si>
  <si>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</si>
  <si>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</si>
  <si>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</si>
  <si>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</si>
  <si>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</si>
  <si>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</si>
  <si>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</si>
  <si>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</si>
  <si>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</si>
  <si>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</si>
  <si>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</si>
  <si>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</si>
  <si>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</si>
  <si>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</si>
  <si>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</si>
  <si>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</si>
  <si>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</si>
  <si>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</si>
  <si>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</si>
  <si>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</si>
  <si>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</si>
  <si>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</si>
  <si>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</si>
  <si>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</si>
  <si>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</si>
  <si>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</si>
  <si>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</si>
  <si>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</si>
  <si>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</si>
  <si>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</si>
  <si>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</si>
  <si>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</si>
  <si>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</si>
  <si>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</si>
  <si>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</si>
  <si>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</si>
  <si>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</si>
  <si>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</si>
  <si>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</si>
  <si>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</si>
  <si>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</si>
  <si>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</si>
  <si>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</si>
  <si>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</si>
  <si>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</si>
  <si>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</si>
  <si>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</si>
  <si>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</si>
  <si>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</si>
  <si>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</si>
  <si>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</si>
  <si>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</si>
  <si>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</si>
  <si>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</si>
  <si>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</si>
  <si>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</si>
  <si>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</si>
  <si>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</si>
  <si>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</si>
  <si>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</si>
  <si>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</si>
  <si>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</si>
  <si>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</si>
  <si>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</si>
  <si>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</si>
  <si>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</si>
  <si>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</si>
  <si>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</si>
  <si>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</si>
  <si>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</si>
  <si>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</si>
  <si>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</si>
  <si>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</si>
  <si>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</si>
  <si>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</si>
  <si>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</si>
  <si>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</si>
  <si>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</si>
  <si>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</si>
  <si>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</si>
  <si>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</si>
  <si>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</si>
  <si>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</si>
  <si>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</si>
  <si>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</si>
  <si>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</si>
  <si>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</si>
  <si>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</si>
  <si>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</si>
  <si>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</si>
  <si>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</si>
  <si>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</si>
  <si>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</si>
  <si>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</si>
  <si>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</si>
  <si>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</si>
  <si>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</si>
  <si>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</si>
  <si>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</si>
  <si>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</si>
  <si>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</si>
  <si>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</si>
  <si>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</si>
  <si>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</si>
  <si>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</si>
  <si>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</si>
  <si>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</si>
  <si>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</si>
  <si>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</si>
  <si>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</si>
  <si>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</si>
  <si>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</si>
  <si>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</si>
  <si>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</si>
  <si>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</si>
  <si>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</si>
  <si>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</si>
  <si>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</si>
  <si>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</si>
  <si>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</si>
  <si>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</si>
  <si>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</si>
  <si>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</si>
  <si>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</si>
  <si>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</si>
  <si>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</si>
  <si>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</si>
  <si>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</si>
  <si>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</si>
  <si>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</si>
  <si>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</si>
  <si>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</si>
  <si>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</si>
  <si>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</si>
  <si>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</si>
  <si>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</si>
  <si>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</si>
  <si>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</si>
  <si>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</si>
  <si>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</si>
  <si>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</si>
  <si>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</si>
  <si>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</si>
  <si>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</si>
  <si>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</si>
  <si>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</si>
  <si>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</si>
  <si>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</si>
  <si>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</si>
  <si>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</si>
  <si>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</si>
  <si>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</si>
  <si>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</si>
  <si>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</si>
  <si>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</si>
  <si>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</si>
  <si>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</si>
  <si>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</si>
  <si>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</si>
  <si>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</si>
  <si>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</si>
  <si>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</si>
  <si>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</si>
  <si>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</si>
  <si>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</si>
  <si>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</si>
  <si>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</si>
  <si>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</si>
  <si>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</si>
  <si>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</si>
  <si>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</si>
  <si>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</si>
  <si>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</si>
  <si>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</si>
  <si>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</si>
  <si>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</si>
  <si>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</si>
  <si>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</si>
  <si>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</si>
  <si>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</si>
  <si>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</si>
  <si>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</si>
  <si>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</si>
  <si>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</si>
  <si>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</si>
  <si>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</si>
  <si>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</si>
  <si>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</si>
  <si>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</si>
  <si>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</si>
  <si>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</si>
  <si>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</si>
  <si>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</si>
  <si>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</si>
  <si>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</si>
  <si>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</si>
  <si>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</si>
  <si>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</si>
  <si>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</si>
  <si>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</si>
  <si>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</si>
  <si>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</si>
  <si>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</si>
  <si>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</si>
  <si>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</si>
  <si>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</si>
  <si>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</si>
  <si>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</si>
  <si>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</si>
  <si>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</si>
  <si>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</si>
  <si>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</si>
  <si>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</si>
  <si>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</si>
  <si>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</si>
  <si>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</si>
  <si>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</si>
  <si>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</si>
  <si>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</si>
  <si>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</si>
  <si>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</si>
  <si>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</si>
  <si>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</si>
  <si>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</si>
  <si>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</si>
  <si>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</si>
  <si>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</si>
  <si>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</si>
  <si>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</si>
  <si>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</si>
  <si>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</si>
  <si>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</si>
  <si>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</si>
  <si>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</si>
  <si>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</si>
  <si>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</si>
  <si>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</si>
  <si>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</si>
  <si>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</si>
  <si>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</si>
  <si>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</si>
  <si>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</si>
  <si>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</si>
  <si>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</si>
  <si>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</si>
  <si>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</si>
  <si>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</si>
  <si>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</si>
  <si>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</si>
  <si>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</si>
  <si>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</si>
  <si>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</si>
  <si>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</si>
  <si>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</si>
  <si>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</si>
  <si>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</si>
  <si>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</si>
  <si>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</si>
  <si>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</si>
  <si>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</si>
  <si>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</si>
  <si>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</si>
  <si>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</si>
  <si>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</si>
  <si>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</si>
  <si>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</si>
  <si>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</si>
  <si>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</si>
  <si>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</si>
  <si>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</si>
  <si>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</si>
  <si>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</si>
  <si>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</si>
  <si>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</si>
  <si>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</si>
  <si>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</si>
  <si>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</si>
  <si>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</si>
  <si>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</si>
  <si>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</si>
  <si>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</si>
  <si>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</si>
  <si>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</si>
  <si>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</si>
  <si>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</si>
  <si>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</si>
  <si>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</si>
  <si>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</si>
  <si>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</si>
  <si>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</si>
  <si>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</si>
  <si>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</si>
  <si>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</si>
  <si>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</si>
  <si>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</si>
  <si>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</si>
  <si>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</si>
  <si>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</si>
  <si>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</si>
  <si>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</si>
  <si>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</si>
  <si>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</si>
  <si>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</si>
  <si>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</si>
  <si>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</si>
  <si>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</si>
  <si>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</si>
  <si>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</si>
  <si>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</si>
  <si>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</si>
  <si>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</si>
  <si>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</si>
  <si>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</si>
  <si>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</si>
  <si>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</si>
  <si>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</si>
  <si>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</si>
  <si>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</si>
  <si>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</si>
  <si>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</si>
  <si>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</si>
  <si>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</si>
  <si>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</si>
  <si>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</si>
  <si>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</si>
  <si>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</si>
  <si>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</si>
  <si>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</si>
  <si>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</si>
  <si>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</si>
  <si>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</si>
  <si>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</si>
  <si>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</si>
  <si>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</si>
  <si>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</si>
  <si>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</si>
  <si>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</si>
  <si>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</si>
  <si>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</si>
  <si>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</si>
  <si>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</si>
  <si>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</si>
  <si>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</si>
  <si>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</si>
  <si>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</si>
  <si>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</si>
  <si>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</si>
  <si>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</si>
  <si>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</si>
  <si>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</si>
  <si>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</si>
  <si>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</si>
  <si>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</si>
  <si>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</si>
  <si>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</si>
  <si>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</si>
  <si>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</si>
  <si>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</si>
  <si>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</si>
  <si>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</si>
  <si>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</si>
  <si>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</si>
  <si>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</si>
  <si>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</si>
  <si>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</si>
  <si>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</si>
  <si>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</si>
  <si>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</si>
  <si>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</si>
  <si>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</si>
  <si>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</si>
  <si>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</si>
  <si>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</si>
  <si>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</si>
  <si>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</si>
  <si>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</si>
  <si>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</si>
  <si>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</si>
  <si>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</si>
  <si>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</si>
  <si>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</si>
  <si>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</si>
  <si>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</si>
  <si>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</si>
  <si>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</si>
  <si>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</si>
  <si>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</si>
  <si>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</si>
  <si>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</si>
  <si>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</si>
  <si>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</si>
  <si>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</si>
  <si>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</si>
  <si>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</si>
  <si>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</si>
  <si>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</si>
  <si>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</si>
  <si>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</si>
  <si>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</si>
  <si>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</si>
  <si>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</si>
  <si>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</si>
  <si>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</si>
  <si>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</si>
  <si>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</si>
  <si>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</si>
  <si>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</si>
  <si>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</si>
  <si>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</si>
  <si>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</si>
  <si>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</si>
  <si>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</si>
  <si>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</si>
  <si>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</si>
  <si>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</si>
  <si>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</si>
  <si>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</si>
  <si>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</si>
  <si>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</si>
  <si>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</si>
  <si>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</si>
  <si>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</si>
  <si>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</si>
  <si>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</si>
  <si>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</si>
  <si>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</si>
  <si>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</si>
  <si>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</si>
  <si>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</si>
  <si>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</si>
  <si>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</si>
  <si>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</si>
  <si>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</si>
  <si>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</si>
  <si>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</si>
  <si>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</si>
  <si>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</si>
  <si>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</si>
  <si>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</si>
  <si>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</si>
  <si>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</si>
  <si>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</si>
  <si>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</si>
  <si>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</si>
  <si>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</si>
  <si>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</si>
  <si>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</si>
  <si>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</si>
  <si>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</si>
  <si>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</si>
  <si>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</si>
  <si>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</si>
  <si>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</si>
  <si>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</si>
  <si>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</si>
  <si>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</si>
  <si>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</si>
  <si>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</si>
  <si>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</si>
  <si>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</si>
  <si>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</si>
  <si>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</si>
  <si>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</si>
  <si>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</si>
  <si>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</si>
  <si>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</si>
  <si>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</si>
  <si>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</si>
  <si>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</si>
  <si>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</si>
  <si>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</si>
  <si>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</si>
  <si>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</si>
  <si>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</si>
  <si>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</si>
  <si>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</si>
  <si>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</si>
  <si>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</si>
  <si>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</si>
  <si>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</si>
  <si>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</si>
  <si>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</si>
  <si>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</si>
  <si>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</si>
  <si>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</si>
  <si>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</si>
  <si>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</si>
  <si>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</si>
  <si>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</si>
  <si>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</si>
  <si>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</si>
  <si>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</si>
  <si>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</si>
  <si>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</si>
  <si>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</si>
  <si>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</si>
  <si>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</si>
  <si>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</si>
  <si>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</si>
  <si>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</si>
  <si>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</si>
  <si>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</si>
  <si>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</si>
  <si>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</si>
  <si>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</si>
  <si>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</si>
  <si>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</si>
  <si>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</si>
  <si>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</si>
  <si>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</si>
  <si>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</si>
  <si>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</si>
  <si>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</si>
  <si>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</si>
  <si>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</si>
  <si>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</si>
  <si>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</si>
  <si>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</si>
  <si>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</si>
  <si>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</si>
  <si>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</si>
  <si>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</si>
  <si>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</si>
  <si>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</si>
  <si>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</si>
  <si>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</si>
  <si>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</si>
  <si>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</si>
  <si>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</si>
  <si>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</si>
  <si>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</si>
  <si>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</si>
  <si>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</si>
  <si>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</si>
  <si>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</si>
  <si>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</si>
  <si>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</si>
  <si>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</si>
  <si>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</si>
  <si>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</si>
  <si>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</si>
  <si>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</si>
  <si>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</si>
  <si>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</si>
  <si>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</si>
  <si>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</si>
  <si>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</si>
  <si>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</si>
  <si>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</si>
  <si>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</si>
  <si>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</si>
  <si>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</si>
  <si>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</si>
  <si>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</si>
  <si>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</si>
  <si>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</si>
  <si>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</si>
  <si>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</si>
  <si>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</si>
  <si>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</si>
  <si>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</si>
  <si>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</si>
  <si>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</si>
  <si>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</si>
  <si>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</si>
  <si>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</si>
  <si>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</si>
  <si>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</si>
  <si>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</si>
  <si>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</si>
  <si>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</si>
  <si>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</si>
  <si>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</si>
  <si>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</si>
  <si>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</si>
  <si>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</si>
  <si>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</si>
  <si>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</si>
  <si>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</si>
  <si>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</si>
  <si>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</si>
  <si>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</si>
  <si>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</si>
  <si>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</si>
  <si>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</si>
  <si>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</si>
  <si>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</si>
  <si>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</si>
  <si>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</si>
  <si>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</si>
  <si>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</si>
  <si>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</si>
  <si>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</si>
  <si>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</si>
  <si>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</si>
  <si>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</si>
  <si>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</si>
  <si>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</si>
  <si>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</si>
  <si>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</si>
  <si>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</si>
  <si>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</si>
  <si>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</si>
  <si>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</si>
  <si>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</si>
  <si>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</si>
  <si>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</si>
  <si>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</si>
  <si>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</si>
  <si>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</si>
  <si>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</si>
  <si>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</si>
  <si>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</si>
  <si>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</si>
  <si>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</si>
  <si>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</si>
  <si>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</si>
  <si>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</si>
  <si>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</si>
  <si>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</si>
  <si>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</si>
  <si>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</si>
  <si>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</si>
  <si>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</si>
  <si>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</si>
  <si>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</si>
  <si>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</si>
  <si>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</si>
  <si>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</si>
  <si>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</si>
  <si>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</si>
  <si>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</si>
  <si>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</si>
  <si>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</si>
  <si>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</si>
  <si>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</si>
  <si>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</si>
  <si>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</si>
  <si>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</si>
  <si>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</si>
  <si>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</si>
  <si>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</si>
  <si>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</si>
  <si>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</si>
  <si>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</si>
  <si>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</si>
  <si>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</si>
  <si>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</si>
  <si>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</si>
  <si>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</si>
  <si>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</si>
  <si>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</si>
  <si>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</si>
  <si>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</si>
  <si>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</si>
  <si>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</si>
  <si>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</si>
  <si>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</si>
  <si>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</si>
  <si>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</si>
  <si>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</si>
  <si>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</si>
  <si>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</si>
  <si>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</si>
  <si>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</si>
  <si>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</si>
  <si>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</si>
  <si>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</si>
  <si>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</si>
  <si>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</si>
  <si>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</si>
  <si>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</si>
  <si>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</si>
  <si>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</si>
  <si>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</si>
  <si>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</si>
  <si>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</si>
  <si>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</si>
  <si>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</si>
  <si>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</si>
  <si>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</si>
  <si>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</si>
  <si>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</si>
  <si>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</si>
  <si>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</si>
  <si>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</si>
  <si>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</si>
  <si>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</si>
  <si>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</si>
  <si>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</si>
  <si>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</si>
  <si>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</si>
  <si>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</si>
  <si>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</si>
  <si>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</si>
  <si>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</si>
  <si>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</si>
  <si>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</si>
  <si>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</si>
  <si>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</si>
  <si>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</si>
  <si>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</si>
  <si>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</si>
  <si>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</si>
  <si>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</si>
  <si>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</si>
  <si>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</si>
  <si>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</si>
  <si>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</si>
  <si>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</si>
  <si>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</si>
  <si>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</si>
  <si>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</si>
  <si>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</si>
  <si>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</si>
  <si>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</si>
  <si>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</si>
  <si>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</si>
  <si>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</si>
  <si>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</si>
  <si>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</si>
  <si>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</si>
  <si>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</si>
  <si>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</si>
  <si>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</si>
  <si>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</si>
  <si>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</si>
  <si>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</si>
  <si>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</si>
  <si>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</si>
  <si>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</si>
  <si>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</si>
  <si>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</si>
  <si>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</si>
  <si>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</si>
  <si>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</si>
  <si>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</si>
  <si>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</si>
  <si>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</si>
  <si>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</si>
  <si>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</si>
  <si>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</si>
  <si>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</si>
  <si>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</si>
  <si>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</si>
  <si>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</si>
  <si>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</si>
  <si>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</si>
  <si>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</si>
  <si>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</si>
  <si>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</si>
  <si>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</si>
  <si>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</si>
  <si>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</si>
  <si>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</si>
  <si>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</si>
  <si>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</si>
  <si>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</si>
  <si>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</si>
  <si>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</si>
  <si>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</si>
  <si>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</si>
  <si>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</si>
  <si>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</si>
  <si>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</si>
  <si>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</si>
  <si>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</si>
  <si>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</si>
  <si>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</si>
  <si>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</si>
  <si>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</si>
  <si>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</si>
  <si>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</si>
  <si>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</si>
  <si>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</si>
  <si>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</si>
  <si>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</si>
  <si>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</si>
  <si>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</si>
  <si>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</si>
  <si>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</si>
  <si>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</si>
  <si>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</si>
  <si>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</si>
  <si>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</si>
  <si>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</si>
  <si>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</si>
  <si>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</si>
  <si>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</si>
  <si>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</si>
  <si>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</si>
  <si>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</si>
  <si>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</si>
  <si>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</si>
  <si>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</si>
  <si>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</si>
  <si>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</si>
  <si>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</si>
  <si>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</si>
  <si>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</si>
  <si>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</si>
  <si>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</si>
  <si>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</si>
  <si>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</si>
  <si>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</si>
  <si>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</si>
  <si>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</si>
  <si>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</si>
  <si>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</si>
  <si>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</si>
  <si>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</si>
  <si>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</si>
  <si>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</si>
  <si>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</si>
  <si>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</si>
  <si>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</si>
  <si>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</si>
  <si>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</si>
  <si>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</si>
  <si>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</si>
  <si>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</si>
  <si>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</si>
  <si>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</si>
  <si>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</si>
  <si>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</si>
  <si>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</si>
  <si>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</si>
  <si>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</si>
  <si>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</si>
  <si>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</si>
  <si>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</si>
  <si>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</si>
  <si>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</si>
  <si>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</si>
  <si>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</si>
  <si>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</si>
  <si>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</si>
  <si>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</si>
  <si>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</si>
  <si>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</si>
  <si>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</si>
  <si>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</si>
  <si>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</si>
  <si>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</si>
  <si>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</si>
  <si>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</si>
  <si>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</si>
  <si>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</si>
  <si>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</si>
  <si>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</si>
  <si>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</si>
  <si>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</si>
  <si>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</si>
  <si>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</si>
  <si>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</si>
  <si>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</si>
  <si>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</si>
  <si>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</si>
  <si>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</si>
  <si>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</si>
  <si>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</si>
  <si>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</si>
  <si>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</si>
  <si>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</si>
  <si>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</si>
  <si>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</si>
  <si>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</si>
  <si>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</si>
  <si>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</si>
  <si>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</si>
  <si>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</si>
  <si>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</si>
  <si>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</si>
  <si>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</si>
  <si>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</si>
  <si>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</si>
  <si>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</si>
  <si>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</si>
  <si>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</si>
  <si>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</si>
  <si>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</si>
  <si>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</si>
  <si>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</si>
  <si>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</si>
  <si>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</si>
  <si>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</si>
  <si>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</si>
  <si>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</si>
  <si>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</si>
  <si>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</si>
  <si>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</si>
  <si>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</si>
  <si>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</si>
  <si>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</si>
  <si>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</si>
  <si>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</si>
  <si>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</si>
  <si>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</si>
  <si>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</si>
  <si>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</si>
  <si>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</si>
  <si>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</si>
  <si>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</si>
  <si>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</si>
  <si>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</si>
  <si>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</si>
  <si>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</si>
  <si>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</si>
  <si>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</si>
  <si>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</si>
  <si>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</si>
  <si>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</si>
  <si>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</si>
  <si>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</si>
  <si>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</si>
  <si>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</si>
  <si>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</si>
  <si>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</si>
  <si>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</si>
  <si>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</si>
  <si>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</si>
  <si>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</si>
  <si>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</si>
  <si>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</si>
  <si>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</si>
  <si>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</si>
  <si>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</si>
  <si>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</si>
  <si>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</si>
  <si>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</si>
  <si>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</si>
  <si>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</si>
  <si>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</si>
  <si>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</si>
  <si>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</si>
  <si>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</si>
  <si>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</si>
  <si>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</si>
  <si>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</si>
  <si>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</si>
  <si>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</si>
  <si>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</si>
  <si>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</si>
  <si>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</si>
  <si>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</si>
  <si>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</si>
  <si>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</si>
  <si>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</si>
  <si>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</si>
  <si>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</si>
  <si>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</si>
  <si>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</si>
  <si>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</si>
  <si>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</si>
  <si>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</si>
  <si>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</si>
  <si>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</si>
  <si>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</si>
  <si>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</si>
  <si>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</si>
  <si>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</si>
  <si>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</si>
  <si>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</si>
  <si>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</si>
  <si>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</si>
  <si>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</si>
  <si>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</si>
  <si>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</si>
  <si>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</si>
  <si>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</si>
  <si>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</si>
  <si>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</si>
  <si>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</si>
  <si>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</si>
  <si>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</si>
  <si>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</si>
  <si>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</si>
  <si>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</si>
  <si>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</si>
  <si>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</si>
  <si>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</si>
  <si>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</si>
  <si>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</si>
  <si>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</si>
  <si>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</si>
  <si>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</si>
  <si>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</si>
  <si>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</si>
  <si>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</si>
  <si>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</si>
  <si>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</si>
  <si>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</si>
  <si>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</si>
  <si>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</si>
  <si>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</si>
  <si>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</si>
  <si>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</si>
  <si>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</si>
  <si>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</si>
  <si>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</si>
  <si>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</si>
  <si>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</si>
  <si>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</si>
  <si>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</si>
  <si>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</si>
  <si>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</si>
  <si>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</si>
  <si>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</si>
  <si>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</si>
  <si>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</si>
  <si>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</si>
  <si>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</si>
  <si>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</si>
  <si>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</si>
  <si>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</si>
  <si>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</si>
  <si>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</si>
  <si>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</si>
  <si>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</si>
  <si>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</si>
  <si>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</si>
  <si>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</si>
  <si>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</si>
  <si>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</si>
  <si>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</si>
  <si>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</si>
  <si>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</si>
  <si>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</si>
  <si>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</si>
  <si>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</si>
  <si>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</si>
  <si>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</si>
  <si>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</si>
  <si>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</si>
  <si>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</si>
  <si>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</si>
  <si>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</si>
  <si>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</si>
  <si>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</si>
  <si>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</si>
  <si>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</si>
  <si>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</si>
  <si>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</si>
  <si>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</si>
  <si>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</si>
  <si>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</si>
  <si>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</si>
  <si>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</si>
  <si>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</si>
  <si>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</si>
  <si>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</si>
  <si>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</si>
  <si>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</si>
  <si>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</si>
  <si>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</si>
  <si>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</si>
  <si>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</si>
  <si>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</si>
  <si>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</si>
  <si>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</si>
  <si>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</si>
  <si>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</si>
  <si>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</si>
  <si>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</si>
  <si>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</si>
  <si>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</si>
  <si>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</si>
  <si>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</si>
  <si>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</si>
  <si>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</si>
  <si>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</si>
  <si>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</si>
  <si>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</si>
  <si>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</si>
  <si>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</si>
  <si>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</si>
  <si>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</si>
  <si>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</si>
  <si>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</si>
  <si>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</si>
  <si>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</si>
  <si>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</si>
  <si>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</si>
  <si>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</si>
  <si>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</si>
  <si>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</si>
  <si>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</si>
  <si>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</si>
  <si>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</si>
  <si>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</si>
  <si>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</si>
  <si>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</si>
  <si>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</si>
  <si>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</si>
  <si>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</si>
  <si>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</si>
  <si>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</si>
  <si>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</si>
  <si>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</si>
  <si>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</si>
  <si>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</si>
  <si>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</si>
  <si>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</si>
  <si>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</si>
  <si>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</si>
  <si>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</si>
  <si>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</si>
  <si>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</si>
  <si>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</si>
  <si>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</si>
  <si>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</si>
  <si>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</si>
  <si>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</si>
  <si>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</si>
  <si>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</si>
  <si>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</si>
  <si>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</si>
  <si>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</si>
  <si>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</si>
  <si>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</si>
  <si>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</si>
  <si>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</si>
  <si>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</si>
  <si>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</si>
  <si>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</si>
  <si>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</si>
  <si>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</si>
  <si>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</si>
  <si>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</si>
  <si>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</si>
  <si>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</si>
  <si>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</si>
  <si>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</si>
  <si>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</si>
  <si>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</si>
  <si>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</si>
  <si>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</si>
  <si>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</si>
  <si>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</si>
  <si>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</si>
  <si>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</si>
  <si>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</si>
  <si>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</si>
  <si>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</si>
  <si>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</si>
  <si>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</si>
  <si>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</si>
  <si>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</si>
  <si>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</si>
  <si>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</si>
  <si>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</si>
  <si>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</si>
  <si>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</si>
  <si>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</si>
  <si>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</si>
  <si>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</si>
  <si>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</si>
  <si>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</si>
  <si>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</si>
  <si>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</si>
  <si>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</si>
  <si>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</si>
  <si>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</si>
  <si>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</si>
  <si>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</si>
  <si>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</si>
  <si>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</si>
  <si>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</si>
  <si>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</si>
  <si>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</si>
  <si>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</si>
  <si>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</si>
  <si>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</si>
  <si>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</si>
  <si>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</si>
  <si>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</si>
  <si>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</si>
  <si>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</si>
  <si>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</si>
  <si>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</si>
  <si>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</si>
  <si>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</si>
  <si>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</si>
  <si>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</si>
  <si>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</si>
  <si>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</si>
  <si>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</si>
  <si>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</si>
  <si>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</si>
  <si>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</si>
  <si>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</si>
  <si>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</si>
  <si>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</si>
  <si>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</si>
  <si>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</si>
  <si>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</si>
  <si>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</si>
  <si>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</si>
  <si>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</si>
  <si>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</si>
  <si>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</si>
  <si>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</si>
  <si>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</si>
  <si>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</si>
  <si>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</si>
  <si>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</si>
  <si>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</si>
  <si>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</si>
  <si>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</si>
  <si>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</si>
  <si>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</si>
  <si>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</si>
  <si>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</si>
  <si>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</si>
  <si>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</si>
  <si>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</si>
  <si>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</si>
  <si>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</si>
  <si>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</si>
  <si>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</si>
  <si>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</si>
  <si>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</si>
  <si>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</si>
  <si>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</si>
  <si>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</si>
  <si>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</si>
  <si>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</si>
  <si>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</si>
  <si>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</si>
  <si>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</si>
  <si>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</si>
  <si>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</si>
  <si>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</si>
  <si>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</si>
  <si>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</si>
  <si>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</si>
  <si>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</si>
  <si>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</si>
  <si>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</si>
  <si>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</si>
  <si>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</si>
  <si>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</si>
  <si>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</si>
  <si>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</si>
  <si>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</si>
  <si>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</si>
  <si>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</si>
  <si>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</si>
  <si>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</si>
  <si>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</si>
  <si>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</si>
  <si>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</si>
  <si>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</si>
  <si>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</si>
  <si>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</si>
  <si>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</si>
  <si>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</si>
  <si>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</si>
  <si>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</si>
  <si>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</si>
  <si>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</si>
  <si>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</si>
  <si>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</si>
  <si>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</si>
  <si>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</si>
  <si>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</si>
  <si>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</si>
  <si>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</si>
  <si>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</si>
  <si>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</si>
  <si>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</si>
  <si>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</si>
  <si>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</si>
  <si>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</si>
  <si>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</si>
  <si>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</si>
  <si>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</si>
  <si>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</si>
  <si>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</si>
  <si>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</si>
  <si>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</si>
  <si>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</si>
  <si>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</si>
  <si>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</si>
  <si>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</si>
  <si>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</si>
  <si>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</si>
  <si>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</si>
  <si>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</si>
  <si>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</si>
  <si>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</si>
  <si>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</si>
  <si>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</si>
  <si>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</si>
  <si>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</si>
  <si>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</si>
  <si>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</si>
  <si>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</si>
  <si>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</si>
  <si>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</si>
  <si>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</si>
  <si>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</si>
  <si>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</si>
  <si>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</si>
  <si>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</si>
  <si>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</si>
  <si>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</si>
  <si>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</si>
  <si>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</si>
  <si>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</si>
  <si>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</si>
  <si>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</si>
  <si>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</si>
  <si>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</si>
  <si>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</si>
  <si>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</si>
  <si>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</si>
  <si>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</si>
  <si>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</si>
  <si>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</si>
  <si>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</si>
  <si>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</si>
  <si>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</si>
  <si>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</si>
  <si>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</si>
  <si>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</si>
  <si>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</si>
  <si>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</si>
  <si>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</si>
  <si>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</si>
  <si>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</si>
  <si>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</si>
  <si>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</si>
  <si>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</si>
  <si>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</si>
  <si>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</si>
  <si>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</si>
  <si>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</si>
  <si>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</si>
  <si>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</si>
  <si>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</si>
  <si>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</si>
  <si>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</si>
  <si>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</si>
  <si>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</si>
  <si>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</si>
  <si>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</si>
  <si>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</si>
  <si>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</si>
  <si>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</si>
  <si>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</si>
  <si>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</si>
  <si>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</si>
  <si>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</si>
  <si>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</si>
  <si>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</si>
  <si>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</si>
  <si>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</si>
  <si>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</si>
  <si>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</si>
  <si>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</si>
  <si>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</si>
  <si>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</si>
  <si>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</si>
  <si>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</si>
  <si>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</si>
  <si>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</si>
  <si>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</si>
  <si>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</si>
  <si>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</si>
  <si>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</si>
  <si>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</si>
  <si>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</si>
  <si>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</si>
  <si>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</si>
  <si>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</si>
  <si>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</si>
  <si>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</si>
  <si>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</si>
  <si>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</si>
  <si>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</si>
  <si>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</si>
  <si>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</si>
  <si>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</si>
  <si>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</si>
  <si>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</si>
  <si>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</si>
  <si>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</si>
  <si>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</si>
  <si>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</si>
  <si>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</si>
  <si>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</si>
  <si>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</si>
  <si>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</si>
  <si>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</si>
  <si>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</si>
  <si>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</si>
  <si>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</si>
  <si>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</si>
  <si>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</si>
  <si>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</si>
  <si>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</si>
  <si>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</si>
  <si>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</si>
  <si>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</si>
  <si>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</si>
  <si>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</si>
  <si>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</si>
  <si>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</si>
  <si>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</si>
  <si>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</si>
  <si>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</si>
  <si>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</si>
  <si>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</si>
  <si>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</si>
  <si>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</si>
  <si>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</si>
  <si>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</si>
  <si>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</si>
  <si>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</si>
  <si>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</si>
  <si>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</si>
  <si>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</si>
  <si>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</si>
  <si>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</si>
  <si>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</si>
  <si>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</si>
  <si>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</si>
  <si>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</si>
  <si>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</si>
  <si>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</si>
  <si>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</si>
  <si>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</si>
  <si>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</si>
  <si>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</si>
  <si>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</si>
  <si>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</si>
  <si>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</si>
  <si>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</si>
  <si>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</si>
  <si>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</si>
  <si>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</si>
  <si>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</si>
  <si>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</si>
  <si>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</si>
  <si>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</si>
  <si>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</si>
  <si>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</si>
  <si>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</si>
  <si>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</si>
  <si>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</si>
  <si>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</si>
  <si>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</si>
  <si>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</si>
  <si>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</si>
  <si>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</si>
  <si>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</si>
  <si>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</si>
  <si>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</si>
  <si>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</si>
  <si>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</si>
  <si>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</si>
  <si>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</si>
  <si>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</si>
  <si>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</si>
  <si>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</si>
  <si>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</si>
  <si>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</si>
  <si>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</si>
  <si>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</si>
  <si>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</si>
  <si>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</si>
  <si>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</si>
  <si>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</si>
  <si>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</si>
  <si>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</si>
  <si>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</si>
  <si>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</si>
  <si>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</si>
  <si>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</si>
  <si>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</si>
  <si>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</si>
  <si>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</si>
  <si>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</si>
  <si>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</si>
  <si>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</si>
  <si>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</si>
  <si>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</si>
  <si>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</si>
  <si>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</si>
  <si>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</si>
  <si>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</si>
  <si>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</si>
  <si>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</si>
  <si>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</si>
  <si>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</si>
  <si>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</si>
  <si>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</si>
  <si>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</si>
  <si>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</si>
  <si>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</si>
  <si>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</si>
  <si>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</si>
  <si>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</si>
  <si>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</si>
  <si>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</si>
  <si>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</si>
  <si>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</si>
  <si>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</si>
  <si>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</si>
  <si>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</si>
  <si>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</si>
  <si>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</si>
  <si>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</si>
  <si>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</si>
  <si>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</si>
  <si>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</si>
  <si>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</si>
  <si>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</si>
  <si>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</si>
  <si>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</si>
  <si>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</si>
  <si>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</si>
  <si>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</si>
  <si>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</si>
  <si>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</si>
  <si>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</si>
  <si>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</si>
  <si>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</si>
  <si>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</si>
  <si>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</si>
  <si>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</si>
  <si>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</si>
  <si>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</si>
  <si>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</si>
  <si>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</si>
  <si>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</si>
  <si>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</si>
  <si>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</si>
  <si>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</si>
  <si>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</si>
  <si>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</si>
  <si>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</si>
  <si>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</si>
  <si>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</si>
  <si>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</si>
  <si>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</si>
  <si>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</si>
  <si>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</si>
  <si>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</si>
  <si>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</si>
  <si>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</si>
  <si>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</si>
  <si>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</si>
  <si>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</si>
  <si>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</si>
  <si>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</si>
  <si>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</si>
  <si>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</si>
  <si>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</si>
  <si>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</si>
  <si>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</si>
  <si>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</si>
  <si>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</si>
  <si>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</si>
  <si>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</si>
  <si>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</si>
  <si>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</si>
  <si>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</si>
  <si>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</si>
  <si>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</si>
  <si>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</si>
  <si>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</si>
  <si>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</si>
  <si>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</si>
  <si>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</si>
  <si>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</si>
  <si>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</si>
  <si>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</si>
  <si>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</si>
  <si>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</si>
  <si>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</si>
  <si>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</si>
  <si>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</si>
  <si>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</si>
  <si>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</si>
  <si>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</si>
  <si>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</si>
  <si>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</si>
  <si>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</si>
  <si>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</si>
  <si>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</si>
  <si>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</si>
  <si>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</si>
  <si>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</si>
  <si>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</si>
  <si>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</si>
  <si>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</si>
  <si>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</si>
  <si>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</si>
  <si>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</si>
  <si>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</si>
  <si>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</si>
  <si>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</si>
  <si>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</si>
  <si>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</si>
  <si>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</si>
  <si>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</si>
  <si>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</si>
  <si>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</si>
  <si>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</si>
  <si>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</si>
  <si>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</si>
  <si>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</si>
  <si>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</si>
  <si>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</si>
  <si>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</si>
  <si>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</si>
  <si>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</si>
  <si>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</si>
  <si>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</si>
  <si>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</si>
  <si>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</si>
  <si>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</si>
  <si>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</si>
  <si>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</si>
  <si>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</si>
  <si>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</si>
  <si>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</si>
  <si>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</si>
  <si>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</si>
  <si>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</si>
  <si>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</si>
  <si>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</si>
  <si>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</si>
  <si>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</si>
  <si>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</si>
  <si>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</si>
  <si>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</si>
  <si>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</si>
  <si>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</si>
  <si>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</si>
  <si>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</si>
  <si>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</si>
  <si>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</si>
  <si>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</si>
  <si>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</si>
  <si>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</si>
  <si>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</si>
  <si>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</si>
  <si>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</si>
  <si>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</si>
  <si>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</si>
  <si>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</si>
  <si>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</si>
  <si>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</si>
  <si>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</si>
  <si>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</si>
  <si>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</si>
  <si>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</si>
  <si>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</si>
  <si>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</si>
  <si>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</si>
  <si>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</si>
  <si>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</si>
  <si>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</si>
  <si>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</si>
  <si>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</si>
  <si>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</si>
  <si>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</si>
  <si>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</si>
  <si>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</si>
  <si>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</si>
  <si>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</si>
  <si>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</si>
  <si>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</si>
  <si>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</si>
  <si>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</si>
  <si>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</si>
  <si>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</si>
  <si>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</si>
  <si>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</si>
  <si>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</si>
  <si>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</si>
  <si>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</si>
  <si>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</si>
  <si>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</si>
  <si>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</si>
  <si>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</si>
  <si>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</si>
  <si>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</si>
  <si>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</si>
  <si>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</si>
  <si>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</si>
  <si>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</si>
  <si>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</si>
  <si>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</si>
  <si>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</si>
  <si>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</si>
  <si>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</si>
  <si>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</si>
  <si>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</si>
  <si>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</si>
  <si>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</si>
  <si>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</si>
  <si>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</si>
  <si>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</si>
  <si>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</si>
  <si>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</si>
  <si>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</si>
  <si>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</si>
  <si>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</si>
  <si>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</si>
  <si>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</si>
  <si>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</si>
  <si>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</si>
  <si>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</si>
  <si>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</si>
  <si>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</si>
  <si>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</si>
  <si>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</si>
  <si>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</si>
  <si>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</si>
  <si>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</si>
  <si>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</si>
  <si>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</si>
  <si>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</si>
  <si>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</si>
  <si>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</si>
  <si>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</si>
  <si>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</si>
  <si>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</si>
  <si>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</si>
  <si>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</si>
  <si>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</si>
  <si>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</si>
  <si>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</si>
  <si>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</si>
  <si>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</si>
  <si>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</si>
  <si>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</si>
  <si>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</si>
  <si>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</si>
  <si>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</si>
  <si>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</si>
  <si>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</si>
  <si>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</si>
  <si>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</si>
  <si>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</si>
  <si>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</si>
  <si>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</si>
  <si>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</si>
  <si>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</si>
  <si>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</si>
  <si>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</si>
  <si>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</si>
  <si>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</si>
  <si>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</si>
  <si>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</si>
  <si>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</si>
  <si>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</si>
  <si>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</si>
  <si>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</si>
  <si>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</si>
  <si>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</si>
  <si>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</si>
  <si>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</si>
  <si>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</si>
  <si>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</si>
  <si>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</si>
  <si>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</si>
  <si>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</si>
  <si>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</si>
  <si>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</si>
  <si>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</si>
  <si>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</si>
  <si>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</si>
  <si>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</si>
  <si>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</si>
  <si>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</si>
  <si>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</si>
  <si>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</si>
  <si>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</si>
  <si>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</si>
  <si>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</si>
  <si>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</si>
  <si>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</si>
  <si>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</si>
  <si>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</si>
  <si>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</si>
  <si>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</si>
  <si>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</si>
  <si>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</si>
  <si>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</si>
  <si>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</si>
  <si>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</si>
  <si>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</si>
  <si>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</si>
  <si>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</si>
  <si>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</si>
  <si>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</si>
  <si>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</si>
  <si>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</si>
  <si>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</si>
  <si>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</si>
  <si>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</si>
  <si>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</si>
  <si>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</si>
  <si>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</si>
  <si>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</si>
  <si>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</si>
  <si>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</si>
  <si>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</si>
  <si>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</si>
  <si>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</si>
  <si>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</si>
  <si>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</si>
  <si>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</si>
  <si>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</si>
  <si>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</si>
  <si>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</si>
  <si>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</si>
  <si>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</si>
  <si>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</si>
  <si>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</si>
  <si>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</si>
  <si>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</si>
  <si>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</si>
  <si>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</si>
  <si>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</si>
  <si>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</si>
  <si>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</si>
  <si>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</si>
  <si>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</si>
  <si>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</si>
  <si>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</si>
  <si>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</si>
  <si>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</si>
  <si>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</si>
  <si>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</si>
  <si>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</si>
  <si>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</si>
  <si>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</si>
  <si>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</si>
  <si>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</si>
  <si>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</si>
  <si>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</si>
  <si>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</si>
  <si>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</si>
  <si>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</si>
  <si>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</si>
  <si>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</si>
  <si>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</si>
  <si>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</si>
  <si>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</si>
  <si>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</si>
  <si>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</si>
  <si>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</si>
  <si>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</si>
  <si>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</si>
  <si>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</si>
  <si>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</si>
  <si>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</si>
  <si>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</si>
  <si>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</si>
  <si>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</si>
  <si>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</si>
  <si>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</si>
  <si>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</si>
  <si>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</si>
  <si>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</si>
  <si>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</si>
  <si>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</si>
  <si>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</si>
  <si>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</si>
  <si>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</si>
  <si>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</si>
  <si>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</si>
  <si>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</si>
  <si>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</si>
  <si>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</si>
  <si>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</si>
  <si>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</si>
  <si>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</si>
  <si>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</si>
  <si>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</si>
  <si>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</si>
  <si>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</si>
  <si>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</si>
  <si>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</si>
  <si>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</si>
  <si>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</si>
  <si>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</si>
  <si>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</si>
  <si>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</si>
  <si>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</si>
  <si>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</si>
  <si>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</si>
  <si>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</si>
  <si>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</si>
  <si>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</si>
  <si>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</si>
  <si>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</si>
  <si>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</si>
  <si>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</si>
  <si>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</si>
  <si>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</si>
  <si>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</si>
  <si>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</si>
  <si>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</si>
  <si>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</si>
  <si>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</si>
  <si>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</si>
  <si>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</si>
  <si>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</si>
  <si>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</si>
  <si>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</si>
  <si>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</si>
  <si>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</si>
  <si>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</si>
  <si>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</si>
  <si>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</si>
  <si>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</si>
  <si>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</si>
  <si>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</si>
  <si>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</si>
  <si>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</si>
  <si>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</si>
  <si>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</si>
  <si>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</si>
  <si>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</si>
  <si>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</si>
  <si>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</si>
  <si>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</si>
  <si>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</si>
  <si>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</si>
  <si>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</si>
  <si>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</si>
  <si>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</si>
  <si>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</si>
  <si>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</si>
  <si>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</si>
  <si>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</si>
  <si>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</si>
  <si>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</si>
  <si>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</si>
  <si>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</si>
  <si>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</si>
  <si>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</si>
  <si>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</si>
  <si>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</si>
  <si>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</si>
  <si>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</si>
  <si>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</si>
  <si>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</si>
  <si>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</si>
  <si>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</si>
  <si>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</si>
  <si>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</si>
  <si>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</si>
  <si>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</si>
  <si>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</si>
  <si>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</si>
  <si>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</si>
  <si>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</si>
  <si>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</si>
  <si>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</si>
  <si>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</si>
  <si>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</si>
  <si>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</si>
  <si>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</si>
  <si>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</si>
  <si>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</si>
  <si>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</si>
  <si>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</si>
  <si>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</si>
  <si>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</si>
  <si>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</si>
  <si>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</si>
  <si>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</si>
  <si>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</si>
  <si>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</si>
  <si>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</si>
  <si>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</si>
  <si>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</si>
  <si>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</si>
  <si>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</si>
  <si>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</si>
  <si>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</si>
  <si>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</si>
  <si>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</si>
  <si>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</si>
  <si>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</si>
  <si>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</si>
  <si>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</si>
  <si>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</si>
  <si>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</si>
  <si>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</si>
  <si>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</si>
  <si>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</si>
  <si>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</si>
  <si>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</si>
  <si>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</si>
  <si>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</si>
  <si>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</si>
  <si>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</si>
  <si>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</si>
  <si>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</si>
  <si>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</si>
  <si>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</si>
  <si>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</si>
  <si>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</si>
  <si>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</si>
  <si>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</si>
  <si>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</si>
  <si>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</si>
  <si>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</si>
  <si>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</si>
  <si>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</si>
  <si>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</si>
  <si>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</si>
  <si>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</si>
  <si>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</si>
  <si>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</si>
  <si>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</si>
  <si>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</si>
  <si>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</si>
  <si>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</si>
  <si>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</si>
  <si>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</si>
  <si>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</si>
  <si>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</si>
  <si>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</si>
  <si>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</si>
  <si>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</si>
  <si>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</si>
  <si>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</si>
  <si>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</si>
  <si>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</si>
  <si>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</si>
  <si>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</si>
  <si>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</si>
  <si>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</si>
  <si>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</si>
  <si>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</si>
  <si>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</si>
  <si>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</si>
  <si>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</si>
  <si>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</si>
  <si>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</si>
  <si>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</si>
  <si>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</si>
  <si>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</si>
  <si>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</si>
  <si>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</si>
  <si>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</si>
  <si>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</si>
  <si>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</si>
  <si>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</si>
  <si>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</si>
  <si>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</si>
  <si>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</si>
  <si>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</si>
  <si>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</si>
  <si>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</si>
  <si>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</si>
  <si>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</si>
  <si>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</si>
  <si>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</si>
  <si>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</si>
  <si>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</si>
  <si>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</si>
  <si>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</si>
  <si>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</si>
  <si>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</si>
  <si>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</si>
  <si>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</si>
  <si>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</si>
  <si>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</si>
  <si>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</si>
  <si>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</si>
  <si>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</si>
  <si>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</si>
  <si>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</si>
  <si>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</si>
  <si>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</si>
  <si>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</si>
  <si>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</si>
  <si>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</si>
  <si>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</si>
  <si>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</si>
  <si>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</si>
  <si>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</si>
  <si>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</si>
  <si>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</si>
  <si>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</si>
  <si>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</si>
  <si>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</si>
  <si>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</si>
  <si>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</si>
  <si>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</si>
  <si>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</si>
  <si>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</si>
  <si>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</si>
  <si>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</si>
  <si>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</si>
  <si>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</si>
  <si>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</si>
  <si>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</si>
  <si>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</si>
  <si>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</si>
  <si>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</si>
  <si>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</si>
  <si>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</si>
  <si>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</si>
  <si>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</si>
  <si>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</si>
  <si>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</si>
  <si>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</si>
  <si>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</si>
  <si>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</si>
  <si>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</si>
  <si>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</si>
  <si>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</si>
  <si>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</si>
  <si>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</si>
  <si>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</si>
  <si>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</si>
  <si>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</si>
  <si>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</si>
  <si>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</si>
  <si>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</si>
  <si>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</si>
  <si>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</si>
  <si>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</si>
  <si>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</si>
  <si>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</si>
  <si>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</si>
  <si>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</si>
  <si>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</si>
  <si>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</si>
  <si>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</si>
  <si>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</si>
  <si>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</si>
  <si>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</si>
  <si>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</si>
  <si>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</si>
  <si>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</si>
  <si>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</si>
  <si>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</si>
  <si>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</si>
  <si>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</si>
  <si>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</si>
  <si>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</si>
  <si>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</si>
  <si>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</si>
  <si>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</si>
  <si>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</si>
  <si>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</si>
  <si>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</si>
  <si>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</si>
  <si>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</si>
  <si>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</si>
  <si>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</si>
  <si>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</si>
  <si>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</si>
  <si>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</si>
  <si>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</si>
  <si>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</si>
  <si>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</si>
  <si>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</si>
  <si>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</si>
  <si>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</si>
  <si>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</si>
  <si>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</si>
  <si>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</si>
  <si>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</si>
  <si>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</si>
  <si>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</si>
  <si>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</si>
  <si>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</si>
  <si>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</si>
  <si>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</si>
  <si>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</si>
  <si>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</si>
  <si>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</si>
  <si>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</si>
  <si>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</si>
  <si>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</si>
  <si>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</si>
  <si>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</si>
  <si>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</si>
  <si>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</si>
  <si>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</si>
  <si>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</si>
  <si>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</si>
  <si>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</si>
  <si>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</si>
  <si>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</si>
  <si>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</si>
  <si>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</si>
  <si>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</si>
  <si>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</si>
  <si>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</si>
  <si>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</si>
  <si>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</si>
  <si>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</si>
  <si>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</si>
  <si>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</si>
  <si>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</si>
  <si>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</si>
  <si>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</si>
  <si>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</si>
  <si>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</si>
  <si>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</si>
  <si>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</si>
  <si>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</si>
  <si>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</si>
  <si>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</si>
  <si>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</si>
  <si>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</si>
  <si>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</si>
  <si>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</si>
  <si>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</si>
  <si>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</si>
  <si>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</si>
  <si>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</si>
  <si>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</si>
  <si>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</si>
  <si>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</si>
  <si>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</si>
  <si>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</si>
  <si>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</si>
  <si>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</si>
  <si>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</si>
  <si>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</si>
  <si>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</si>
  <si>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</si>
  <si>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</si>
  <si>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</si>
  <si>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</si>
  <si>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</si>
  <si>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</si>
  <si>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</si>
  <si>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</si>
  <si>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</si>
  <si>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</si>
  <si>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</si>
  <si>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</si>
  <si>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</si>
  <si>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</si>
  <si>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</si>
  <si>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</si>
  <si>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</si>
  <si>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</si>
  <si>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</si>
  <si>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</si>
  <si>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</si>
  <si>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</si>
  <si>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</si>
  <si>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</si>
  <si>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</si>
  <si>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</si>
  <si>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</si>
  <si>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</si>
  <si>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</si>
  <si>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</si>
  <si>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</si>
  <si>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</si>
  <si>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</si>
  <si>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</si>
  <si>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</si>
  <si>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</si>
  <si>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</si>
  <si>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</si>
  <si>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</si>
  <si>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</si>
  <si>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</si>
  <si>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</si>
  <si>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</si>
  <si>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</si>
  <si>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</si>
  <si>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</si>
  <si>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</si>
  <si>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</si>
  <si>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</si>
  <si>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</si>
  <si>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</si>
  <si>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</si>
  <si>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</si>
  <si>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</si>
  <si>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</si>
  <si>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</si>
  <si>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</si>
  <si>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</si>
  <si>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</si>
  <si>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</si>
  <si>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</si>
  <si>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</si>
  <si>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</si>
  <si>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</si>
  <si>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</si>
  <si>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</si>
  <si>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</si>
  <si>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</si>
  <si>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</si>
  <si>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</si>
  <si>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</si>
  <si>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</si>
  <si>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</si>
  <si>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</si>
  <si>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</si>
  <si>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</si>
  <si>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</si>
  <si>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</si>
  <si>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</si>
  <si>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</si>
  <si>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</si>
  <si>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</si>
  <si>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</si>
  <si>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</si>
  <si>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</si>
  <si>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</si>
  <si>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</si>
  <si>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</si>
  <si>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</si>
  <si>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</si>
  <si>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</si>
  <si>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</si>
  <si>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</si>
  <si>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</si>
  <si>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</si>
  <si>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</si>
  <si>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</si>
  <si>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</si>
  <si>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</si>
  <si>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</si>
  <si>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</si>
  <si>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</si>
  <si>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</si>
  <si>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</si>
  <si>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</si>
  <si>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</si>
  <si>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</si>
  <si>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</si>
  <si>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</si>
  <si>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</si>
  <si>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</si>
  <si>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</si>
  <si>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</si>
  <si>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</si>
  <si>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</si>
  <si>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</si>
  <si>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</si>
  <si>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</si>
  <si>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</si>
  <si>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</si>
  <si>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</si>
  <si>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</si>
  <si>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</si>
  <si>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</si>
  <si>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</si>
  <si>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</si>
  <si>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</si>
  <si>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</si>
  <si>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</si>
  <si>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</si>
  <si>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</si>
  <si>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</si>
  <si>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</si>
  <si>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</si>
  <si>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</si>
  <si>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</si>
  <si>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</si>
  <si>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</si>
  <si>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</si>
  <si>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</si>
  <si>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</si>
  <si>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</si>
  <si>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</si>
  <si>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</si>
  <si>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</si>
  <si>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</si>
  <si>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</si>
  <si>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</si>
  <si>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</si>
  <si>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</si>
  <si>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</si>
  <si>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</si>
  <si>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</si>
  <si>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</si>
  <si>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</si>
  <si>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</si>
  <si>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</si>
  <si>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</si>
  <si>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</si>
  <si>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</si>
  <si>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</si>
  <si>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</si>
  <si>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</si>
  <si>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</si>
  <si>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</si>
  <si>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</si>
  <si>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</si>
  <si>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</si>
  <si>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</si>
  <si>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</si>
  <si>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</si>
  <si>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</si>
  <si>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</si>
  <si>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</si>
  <si>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</si>
  <si>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</si>
  <si>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</si>
  <si>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</si>
  <si>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</si>
  <si>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</si>
  <si>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</si>
  <si>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</si>
  <si>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</si>
  <si>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</si>
  <si>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</si>
  <si>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</si>
  <si>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</si>
  <si>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</si>
  <si>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</si>
  <si>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</si>
  <si>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</si>
  <si>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</si>
  <si>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</si>
  <si>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</si>
  <si>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</si>
  <si>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</si>
  <si>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</si>
  <si>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</si>
  <si>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</si>
  <si>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</si>
  <si>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</si>
  <si>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</si>
  <si>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</si>
  <si>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</si>
  <si>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</si>
  <si>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</si>
  <si>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</si>
  <si>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</si>
  <si>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</si>
  <si>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</si>
  <si>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</si>
  <si>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</si>
  <si>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</si>
  <si>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</si>
  <si>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</si>
  <si>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</si>
  <si>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</si>
  <si>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</si>
  <si>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</si>
  <si>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</si>
  <si>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</si>
  <si>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</si>
  <si>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</si>
  <si>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</si>
  <si>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</si>
  <si>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</si>
  <si>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</si>
  <si>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</si>
  <si>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</si>
  <si>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</si>
  <si>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</si>
  <si>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</si>
  <si>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</si>
  <si>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</si>
  <si>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</si>
  <si>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</si>
  <si>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</si>
  <si>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</si>
  <si>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</si>
  <si>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</si>
  <si>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</si>
  <si>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</si>
  <si>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</si>
  <si>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</si>
  <si>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</si>
  <si>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</si>
  <si>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</si>
  <si>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</si>
  <si>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</si>
  <si>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</si>
  <si>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</si>
  <si>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</si>
  <si>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</si>
  <si>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</si>
  <si>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</si>
  <si>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</si>
  <si>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</si>
  <si>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</si>
  <si>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</si>
  <si>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</si>
  <si>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</si>
  <si>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</si>
  <si>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</si>
  <si>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</si>
  <si>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</si>
  <si>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</si>
  <si>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</si>
  <si>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</si>
  <si>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</si>
  <si>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</si>
  <si>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</si>
  <si>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</si>
  <si>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</si>
  <si>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</si>
  <si>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</si>
  <si>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</si>
  <si>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</si>
  <si>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</si>
  <si>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</si>
  <si>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</si>
  <si>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</si>
  <si>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</si>
  <si>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</si>
  <si>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</si>
  <si>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</si>
  <si>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</si>
  <si>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</si>
  <si>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</si>
  <si>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</si>
  <si>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</si>
  <si>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</si>
  <si>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</si>
  <si>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</si>
  <si>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</si>
  <si>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</si>
  <si>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</si>
  <si>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</si>
  <si>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</si>
  <si>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</si>
  <si>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</si>
  <si>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</si>
  <si>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</si>
  <si>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</si>
  <si>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</si>
  <si>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</si>
  <si>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</si>
  <si>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</si>
  <si>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</si>
  <si>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</si>
  <si>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</si>
  <si>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</si>
  <si>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</si>
  <si>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</si>
  <si>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</si>
  <si>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</si>
  <si>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</si>
  <si>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</si>
  <si>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</si>
  <si>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</si>
  <si>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</si>
  <si>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</si>
  <si>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</si>
  <si>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</si>
  <si>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</si>
  <si>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</si>
  <si>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</si>
  <si>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</si>
  <si>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</si>
  <si>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</si>
  <si>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</si>
  <si>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</si>
  <si>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</si>
  <si>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</si>
  <si>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</si>
  <si>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</si>
  <si>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</si>
  <si>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</si>
  <si>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</si>
  <si>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</si>
  <si>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</si>
  <si>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</si>
  <si>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</si>
  <si>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</si>
  <si>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</si>
  <si>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</si>
  <si>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</si>
  <si>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</si>
  <si>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</si>
  <si>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</si>
  <si>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</si>
  <si>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</si>
  <si>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</si>
  <si>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</si>
  <si>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</si>
  <si>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</si>
  <si>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</si>
  <si>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</si>
  <si>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</si>
  <si>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</si>
  <si>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</si>
  <si>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</si>
  <si>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</si>
  <si>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</si>
  <si>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</si>
  <si>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</si>
  <si>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</si>
  <si>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</si>
  <si>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</si>
  <si>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</si>
  <si>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</si>
  <si>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</si>
  <si>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</si>
  <si>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</si>
  <si>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</si>
  <si>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</si>
  <si>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</si>
  <si>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</si>
  <si>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</si>
  <si>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</si>
  <si>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</si>
  <si>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</si>
  <si>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</si>
  <si>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</si>
  <si>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</si>
  <si>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</si>
  <si>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</si>
  <si>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</si>
  <si>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</si>
  <si>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</si>
  <si>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</si>
  <si>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</si>
  <si>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</si>
  <si>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</si>
  <si>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</si>
  <si>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</si>
  <si>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</si>
  <si>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</si>
  <si>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</si>
  <si>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</si>
  <si>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</si>
  <si>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</si>
  <si>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</si>
  <si>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</si>
  <si>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</si>
  <si>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</si>
  <si>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</si>
  <si>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</si>
  <si>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</si>
  <si>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</si>
  <si>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</si>
  <si>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</si>
  <si>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</si>
  <si>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</si>
  <si>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</si>
  <si>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</si>
  <si>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</si>
  <si>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</si>
  <si>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</si>
  <si>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</si>
  <si>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</si>
  <si>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</si>
  <si>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</si>
  <si>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</si>
  <si>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</si>
  <si>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</si>
  <si>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</si>
  <si>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</si>
  <si>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</si>
  <si>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</si>
  <si>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</si>
  <si>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</si>
  <si>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</si>
  <si>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</si>
  <si>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</si>
  <si>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</si>
  <si>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</si>
  <si>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</si>
  <si>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</si>
  <si>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</si>
  <si>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</si>
  <si>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</si>
  <si>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</si>
  <si>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</si>
  <si>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</si>
  <si>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</si>
  <si>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</si>
  <si>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</si>
  <si>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</si>
  <si>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</si>
  <si>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</si>
  <si>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</si>
  <si>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</si>
  <si>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</si>
  <si>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</si>
  <si>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</si>
  <si>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</si>
  <si>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</si>
  <si>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</si>
  <si>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</si>
  <si>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</si>
  <si>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</si>
  <si>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</si>
  <si>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</si>
  <si>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</si>
  <si>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</si>
  <si>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</si>
  <si>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</si>
  <si>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</si>
  <si>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</si>
  <si>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</si>
  <si>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</si>
  <si>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</si>
  <si>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</si>
  <si>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</si>
  <si>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</si>
  <si>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</si>
  <si>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</si>
  <si>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</si>
  <si>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</si>
  <si>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</si>
  <si>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</si>
  <si>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</si>
  <si>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</si>
  <si>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</si>
  <si>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</si>
  <si>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</si>
  <si>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</si>
  <si>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</si>
  <si>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</si>
  <si>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</si>
  <si>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</si>
  <si>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</si>
  <si>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</si>
  <si>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</si>
  <si>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</si>
  <si>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</si>
  <si>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</si>
  <si>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</si>
  <si>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</si>
  <si>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</si>
  <si>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</si>
  <si>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</si>
  <si>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</si>
  <si>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</si>
  <si>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</si>
  <si>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</si>
  <si>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</si>
  <si>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</si>
  <si>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</si>
  <si>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</si>
  <si>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</si>
  <si>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</si>
  <si>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</si>
  <si>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</si>
  <si>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</si>
  <si>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</si>
  <si>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</si>
  <si>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</si>
  <si>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</si>
  <si>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</si>
  <si>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</si>
  <si>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</si>
  <si>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</si>
  <si>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</si>
  <si>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</si>
  <si>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</si>
  <si>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</si>
  <si>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</si>
  <si>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</si>
  <si>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</si>
  <si>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</si>
  <si>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</si>
  <si>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</si>
  <si>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</si>
  <si>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</si>
  <si>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</si>
  <si>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</si>
  <si>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</si>
  <si>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</si>
  <si>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</si>
  <si>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</si>
  <si>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</si>
  <si>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</si>
  <si>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</si>
  <si>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</si>
  <si>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</si>
  <si>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</si>
  <si>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</si>
  <si>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</si>
  <si>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</si>
  <si>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</si>
  <si>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</si>
  <si>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</si>
  <si>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</si>
  <si>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</si>
  <si>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</si>
  <si>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</si>
  <si>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</si>
  <si>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</si>
  <si>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</si>
  <si>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</si>
  <si>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</si>
  <si>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</si>
  <si>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</si>
  <si>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</si>
  <si>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</si>
  <si>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</si>
  <si>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</si>
  <si>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</si>
  <si>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</si>
  <si>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</si>
  <si>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</si>
  <si>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</si>
  <si>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</si>
  <si>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</si>
  <si>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</si>
  <si>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</si>
  <si>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</si>
  <si>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</si>
  <si>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</si>
  <si>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</si>
  <si>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</si>
  <si>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</si>
  <si>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</si>
  <si>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</si>
  <si>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</si>
  <si>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</si>
  <si>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</si>
  <si>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</si>
  <si>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</si>
  <si>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</si>
  <si>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</si>
  <si>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</si>
  <si>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</si>
  <si>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</si>
  <si>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</si>
  <si>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</si>
  <si>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</si>
  <si>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</si>
  <si>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</si>
  <si>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</si>
  <si>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</si>
  <si>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</si>
  <si>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</si>
  <si>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</si>
  <si>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</si>
  <si>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</si>
  <si>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</si>
  <si>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</si>
  <si>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</si>
  <si>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</si>
  <si>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</si>
  <si>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</si>
  <si>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</si>
  <si>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</si>
  <si>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</si>
  <si>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</si>
  <si>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</si>
  <si>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</si>
  <si>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</si>
  <si>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</si>
  <si>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</si>
  <si>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</si>
  <si>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</si>
  <si>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</si>
  <si>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</si>
  <si>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</si>
  <si>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</si>
  <si>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</si>
  <si>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</si>
  <si>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</si>
  <si>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</si>
  <si>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</si>
  <si>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</si>
  <si>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</si>
  <si>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</si>
  <si>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</si>
  <si>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</si>
  <si>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</si>
  <si>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</si>
  <si>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</si>
  <si>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</si>
  <si>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</si>
  <si>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</si>
  <si>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</si>
  <si>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</si>
  <si>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</si>
  <si>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</si>
  <si>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</si>
  <si>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</si>
  <si>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</si>
  <si>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</si>
  <si>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</si>
  <si>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</si>
  <si>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</si>
  <si>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</si>
  <si>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</si>
  <si>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</si>
  <si>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</si>
  <si>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</si>
  <si>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</si>
  <si>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</si>
  <si>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</si>
  <si>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</si>
  <si>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</si>
  <si>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</si>
  <si>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</si>
  <si>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</si>
  <si>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</si>
  <si>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</si>
  <si>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</si>
  <si>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</si>
  <si>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</si>
  <si>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</si>
  <si>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</si>
  <si>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</si>
  <si>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</si>
  <si>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</si>
  <si>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</si>
  <si>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</si>
  <si>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</si>
  <si>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</si>
  <si>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</si>
  <si>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</si>
  <si>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</si>
  <si>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</si>
  <si>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</si>
  <si>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</si>
  <si>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</si>
  <si>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</si>
  <si>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</si>
  <si>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</si>
  <si>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</si>
  <si>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</si>
  <si>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</si>
  <si>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</si>
  <si>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</si>
  <si>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</si>
  <si>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</si>
  <si>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</si>
  <si>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</si>
  <si>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</si>
  <si>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</si>
  <si>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</si>
  <si>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</si>
  <si>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</si>
  <si>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</si>
  <si>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</si>
  <si>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</si>
  <si>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</si>
  <si>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</si>
  <si>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</si>
  <si>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</si>
  <si>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</si>
  <si>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</si>
  <si>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</si>
  <si>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</si>
  <si>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</si>
  <si>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</si>
  <si>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</si>
  <si>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</si>
  <si>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</si>
  <si>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</si>
  <si>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</si>
  <si>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</si>
  <si>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</si>
  <si>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</si>
  <si>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</si>
  <si>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</si>
  <si>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</si>
  <si>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</si>
  <si>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</si>
  <si>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</si>
  <si>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</si>
  <si>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</si>
  <si>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</si>
  <si>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</si>
  <si>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</si>
  <si>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</si>
  <si>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</si>
  <si>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</si>
  <si>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</si>
  <si>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</si>
  <si>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</si>
  <si>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</si>
  <si>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</si>
  <si>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</si>
  <si>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</si>
  <si>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</si>
  <si>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</si>
  <si>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</si>
  <si>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</si>
  <si>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</si>
  <si>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</si>
  <si>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</si>
  <si>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</si>
  <si>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</si>
  <si>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</si>
  <si>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</si>
  <si>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</si>
  <si>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</si>
  <si>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</si>
  <si>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</si>
  <si>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</si>
  <si>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</si>
  <si>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</si>
  <si>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</si>
  <si>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</si>
  <si>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</si>
  <si>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</si>
  <si>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</si>
  <si>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</si>
  <si>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</si>
  <si>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</si>
  <si>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</si>
  <si>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</si>
  <si>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</si>
  <si>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</si>
  <si>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</si>
  <si>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</si>
  <si>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</si>
  <si>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</si>
  <si>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</si>
  <si>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</si>
  <si>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</si>
  <si>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</si>
  <si>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</si>
  <si>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</si>
  <si>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</si>
  <si>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</si>
  <si>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</si>
  <si>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</si>
  <si>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</si>
  <si>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</si>
  <si>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</si>
  <si>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</si>
  <si>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</si>
  <si>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</si>
  <si>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</si>
  <si>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</si>
  <si>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</si>
  <si>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</si>
  <si>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</si>
  <si>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</si>
  <si>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</si>
  <si>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</si>
  <si>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</si>
  <si>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</si>
  <si>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</si>
  <si>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</si>
  <si>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</si>
  <si>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</si>
  <si>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</si>
  <si>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</si>
  <si>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</si>
  <si>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</si>
  <si>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</si>
  <si>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</si>
  <si>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</si>
  <si>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</si>
  <si>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</si>
  <si>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</si>
  <si>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</si>
  <si>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</si>
  <si>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</si>
  <si>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</si>
  <si>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</si>
  <si>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</si>
  <si>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</si>
  <si>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</si>
  <si>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</si>
  <si>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</si>
  <si>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</si>
  <si>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</si>
  <si>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</si>
  <si>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</si>
  <si>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</si>
  <si>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</si>
  <si>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</si>
  <si>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</si>
  <si>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</si>
  <si>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</si>
  <si>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</si>
  <si>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</si>
  <si>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</si>
  <si>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</si>
  <si>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</si>
  <si>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</si>
  <si>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</si>
  <si>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</si>
  <si>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</si>
  <si>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</si>
  <si>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</si>
  <si>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</si>
  <si>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</si>
  <si>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</si>
  <si>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</si>
  <si>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</si>
  <si>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</si>
  <si>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</si>
  <si>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</si>
  <si>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</si>
  <si>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</si>
  <si>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</si>
  <si>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</si>
  <si>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</si>
  <si>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</si>
  <si>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</si>
  <si>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</si>
  <si>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</si>
  <si>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</si>
  <si>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</si>
  <si>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</si>
  <si>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</si>
  <si>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</si>
  <si>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</si>
  <si>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</si>
  <si>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</si>
  <si>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</si>
  <si>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</si>
  <si>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</si>
  <si>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</si>
  <si>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</si>
  <si>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</si>
  <si>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</si>
  <si>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</si>
  <si>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</si>
  <si>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</si>
  <si>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</si>
  <si>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</si>
  <si>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</si>
  <si>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</si>
  <si>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</si>
  <si>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</si>
  <si>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</si>
  <si>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</si>
  <si>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</si>
  <si>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</si>
  <si>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</si>
  <si>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</si>
  <si>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</si>
  <si>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</si>
  <si>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</si>
  <si>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</si>
  <si>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</si>
  <si>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</si>
  <si>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</si>
  <si>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</si>
  <si>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</si>
  <si>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</si>
  <si>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</si>
  <si>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</si>
  <si>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</si>
  <si>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</si>
  <si>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</si>
  <si>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</si>
  <si>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</si>
  <si>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</si>
  <si>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</si>
  <si>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</si>
  <si>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</si>
  <si>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</si>
  <si>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</si>
  <si>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</si>
  <si>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</si>
  <si>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</si>
  <si>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</si>
  <si>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</si>
  <si>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</si>
  <si>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</si>
  <si>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</si>
  <si>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</si>
  <si>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</si>
  <si>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</si>
  <si>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</si>
  <si>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</si>
  <si>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</si>
  <si>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</si>
  <si>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</si>
  <si>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</si>
  <si>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</si>
  <si>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</si>
  <si>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</si>
  <si>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</si>
  <si>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</si>
  <si>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</si>
  <si>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</si>
  <si>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</si>
  <si>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</si>
  <si>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</si>
  <si>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</si>
  <si>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</si>
  <si>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</si>
  <si>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</si>
  <si>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</si>
  <si>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</si>
  <si>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</si>
  <si>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</si>
  <si>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</si>
  <si>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</si>
  <si>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</si>
  <si>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</si>
  <si>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</si>
  <si>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</si>
  <si>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</si>
  <si>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</si>
  <si>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</si>
  <si>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</si>
  <si>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</si>
  <si>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</si>
  <si>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</si>
  <si>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</si>
  <si>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</si>
  <si>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</si>
  <si>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</si>
  <si>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</si>
  <si>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</si>
  <si>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</si>
  <si>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</si>
  <si>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</si>
  <si>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</si>
  <si>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</si>
  <si>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</si>
  <si>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</si>
  <si>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</si>
  <si>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</si>
  <si>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</si>
  <si>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</si>
  <si>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</si>
  <si>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</si>
  <si>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</si>
  <si>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</si>
  <si>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</si>
  <si>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</si>
  <si>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</si>
  <si>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</si>
  <si>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</si>
  <si>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</si>
  <si>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</si>
  <si>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</si>
  <si>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</si>
  <si>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</si>
  <si>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</si>
  <si>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</si>
  <si>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</si>
  <si>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</si>
  <si>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</si>
  <si>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</si>
  <si>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</si>
  <si>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</si>
  <si>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</si>
  <si>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</si>
  <si>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</si>
  <si>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</si>
  <si>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</si>
  <si>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</si>
  <si>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</si>
  <si>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</si>
  <si>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</si>
  <si>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</si>
  <si>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</si>
  <si>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</si>
  <si>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</si>
  <si>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</si>
  <si>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</si>
  <si>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</si>
  <si>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</si>
  <si>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</si>
  <si>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</si>
  <si>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</si>
  <si>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</si>
  <si>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</si>
  <si>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</si>
  <si>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</si>
  <si>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</si>
  <si>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</si>
  <si>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</si>
  <si>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</si>
  <si>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</si>
  <si>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</si>
  <si>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</si>
  <si>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</si>
  <si>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</si>
  <si>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</si>
  <si>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</si>
  <si>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</si>
  <si>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</si>
  <si>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</si>
  <si>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</si>
  <si>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</si>
  <si>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</si>
  <si>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</si>
  <si>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</si>
  <si>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</si>
  <si>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</si>
  <si>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</si>
  <si>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</si>
  <si>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</si>
  <si>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</si>
  <si>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</si>
  <si>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</si>
  <si>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</si>
  <si>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</si>
  <si>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</si>
  <si>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</si>
  <si>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</si>
  <si>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</si>
  <si>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</si>
  <si>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</si>
  <si>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</si>
  <si>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</si>
  <si>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</si>
  <si>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</si>
  <si>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</si>
  <si>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</si>
  <si>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</si>
  <si>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</si>
  <si>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</si>
  <si>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</si>
  <si>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</si>
  <si>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</si>
  <si>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</si>
  <si>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</si>
  <si>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</si>
  <si>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</si>
  <si>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</si>
  <si>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</si>
  <si>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</si>
  <si>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</si>
  <si>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</si>
  <si>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</si>
  <si>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</si>
  <si>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</si>
  <si>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</si>
  <si>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</si>
  <si>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</si>
  <si>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</si>
  <si>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</si>
  <si>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</si>
  <si>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</si>
  <si>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</si>
  <si>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</si>
  <si>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</si>
  <si>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</si>
  <si>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</si>
  <si>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</si>
  <si>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</si>
  <si>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</si>
  <si>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</si>
  <si>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</si>
  <si>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</si>
  <si>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</si>
  <si>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</si>
  <si>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</si>
  <si>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</si>
  <si>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</si>
  <si>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</si>
  <si>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</si>
  <si>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</si>
  <si>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</si>
  <si>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</si>
  <si>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</si>
  <si>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</si>
  <si>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</si>
  <si>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</si>
  <si>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</si>
  <si>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</si>
  <si>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</si>
  <si>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</si>
  <si>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</si>
  <si>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</si>
  <si>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</si>
  <si>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</si>
  <si>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</si>
  <si>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</si>
  <si>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</si>
  <si>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</si>
  <si>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</si>
  <si>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</si>
  <si>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</si>
  <si>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</si>
  <si>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</si>
  <si>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</si>
  <si>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</si>
  <si>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</si>
  <si>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</si>
  <si>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</si>
  <si>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</si>
  <si>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</si>
  <si>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</si>
  <si>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</si>
  <si>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</si>
  <si>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</si>
  <si>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</si>
  <si>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</si>
  <si>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</si>
  <si>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</si>
  <si>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</si>
  <si>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</si>
  <si>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</si>
  <si>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</si>
  <si>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</si>
  <si>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</si>
  <si>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</si>
  <si>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</si>
  <si>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</si>
  <si>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</si>
  <si>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</si>
  <si>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</si>
  <si>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</si>
  <si>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</si>
  <si>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</si>
  <si>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</si>
  <si>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</si>
  <si>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</si>
  <si>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</si>
  <si>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</si>
  <si>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</si>
  <si>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</si>
  <si>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</si>
  <si>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</si>
  <si>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</si>
  <si>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</si>
  <si>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</si>
  <si>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</si>
  <si>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</si>
  <si>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</si>
  <si>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</si>
  <si>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</si>
  <si>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</si>
  <si>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</si>
  <si>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</si>
  <si>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</si>
  <si>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</si>
  <si>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</si>
  <si>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</si>
  <si>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</si>
  <si>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</si>
  <si>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</si>
  <si>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</si>
  <si>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</si>
  <si>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</si>
  <si>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</si>
  <si>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</si>
  <si>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</si>
  <si>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</si>
  <si>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</si>
  <si>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</si>
  <si>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</si>
  <si>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</si>
  <si>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</si>
  <si>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</si>
  <si>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</si>
  <si>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</si>
  <si>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</si>
  <si>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</si>
  <si>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</si>
  <si>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</si>
  <si>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</si>
  <si>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</si>
  <si>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</si>
  <si>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</si>
  <si>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</si>
  <si>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</si>
  <si>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</si>
  <si>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</si>
  <si>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</si>
  <si>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</si>
  <si>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</si>
  <si>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</si>
  <si>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</si>
  <si>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</si>
  <si>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</si>
  <si>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</si>
  <si>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</si>
  <si>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</si>
  <si>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</si>
  <si>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</si>
  <si>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</si>
  <si>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</si>
  <si>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</si>
  <si>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</si>
  <si>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</si>
  <si>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</si>
  <si>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</si>
  <si>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</si>
  <si>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</si>
  <si>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</si>
  <si>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</si>
  <si>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</si>
  <si>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</si>
  <si>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</si>
  <si>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</si>
  <si>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</si>
  <si>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</si>
  <si>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</si>
  <si>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</si>
  <si>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</si>
  <si>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</si>
  <si>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</si>
  <si>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</si>
  <si>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</si>
  <si>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</si>
  <si>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</si>
  <si>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</si>
  <si>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</si>
  <si>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</si>
  <si>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</si>
  <si>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</si>
  <si>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</si>
  <si>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</si>
  <si>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</si>
  <si>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</si>
  <si>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</si>
  <si>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</si>
  <si>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</si>
  <si>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</si>
  <si>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</si>
  <si>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</si>
  <si>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</si>
  <si>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</si>
  <si>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</si>
  <si>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</si>
  <si>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</si>
  <si>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</si>
  <si>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</si>
  <si>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</si>
  <si>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</si>
  <si>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</si>
  <si>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</si>
  <si>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</si>
  <si>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</si>
  <si>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</si>
  <si>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</si>
  <si>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</si>
  <si>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</si>
  <si>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</si>
  <si>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</si>
  <si>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</si>
  <si>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</si>
  <si>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</si>
  <si>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</si>
  <si>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</si>
  <si>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</si>
  <si>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</si>
  <si>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</si>
  <si>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</si>
  <si>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</si>
  <si>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</si>
  <si>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</si>
  <si>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</si>
  <si>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</si>
  <si>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</si>
  <si>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</si>
  <si>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</si>
  <si>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</si>
  <si>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</si>
  <si>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</si>
  <si>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</si>
  <si>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</si>
  <si>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</si>
  <si>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</si>
  <si>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</si>
  <si>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</si>
  <si>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</si>
  <si>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</si>
  <si>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</si>
  <si>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</si>
  <si>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</si>
  <si>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</si>
  <si>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</si>
  <si>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</si>
  <si>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</si>
  <si>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</si>
  <si>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</si>
  <si>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</si>
  <si>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</si>
  <si>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</si>
  <si>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</si>
  <si>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</si>
  <si>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</si>
  <si>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</si>
  <si>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</si>
  <si>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</si>
  <si>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</si>
  <si>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</si>
  <si>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</si>
  <si>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</si>
  <si>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</si>
  <si>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</si>
  <si>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</si>
  <si>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</si>
  <si>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</si>
  <si>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</si>
  <si>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</si>
  <si>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</si>
  <si>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</si>
  <si>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</si>
  <si>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</si>
  <si>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</si>
  <si>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</si>
  <si>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</si>
  <si>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</si>
  <si>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</si>
  <si>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</si>
  <si>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</si>
  <si>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</si>
  <si>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</si>
  <si>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</si>
  <si>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</si>
  <si>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</si>
  <si>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</si>
  <si>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</si>
  <si>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</si>
  <si>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</si>
  <si>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</si>
  <si>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</si>
  <si>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</si>
  <si>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</si>
  <si>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</si>
  <si>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</si>
  <si>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</si>
  <si>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</si>
  <si>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</si>
  <si>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</si>
  <si>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</si>
  <si>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</si>
  <si>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</si>
  <si>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</si>
  <si>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</si>
  <si>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</si>
  <si>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</si>
  <si>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</si>
  <si>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</si>
  <si>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</si>
  <si>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</si>
  <si>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</si>
  <si>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</si>
  <si>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</si>
  <si>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</si>
  <si>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</si>
  <si>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</si>
  <si>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</si>
  <si>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</si>
  <si>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</si>
  <si>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</si>
  <si>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</si>
  <si>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</si>
  <si>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</si>
  <si>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</si>
  <si>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</si>
  <si>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</si>
  <si>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</si>
  <si>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</si>
  <si>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</si>
  <si>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</si>
  <si>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</si>
  <si>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</si>
  <si>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</si>
  <si>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</si>
  <si>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</si>
  <si>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</si>
  <si>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</si>
  <si>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</si>
  <si>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</si>
  <si>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</si>
  <si>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</si>
  <si>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</si>
  <si>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</si>
  <si>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</si>
  <si>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</si>
  <si>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</si>
  <si>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</si>
  <si>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</si>
  <si>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</si>
  <si>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</si>
  <si>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</si>
  <si>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</si>
  <si>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</si>
  <si>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</si>
  <si>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</si>
  <si>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</si>
  <si>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</si>
  <si>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</si>
  <si>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</si>
  <si>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</si>
  <si>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</si>
  <si>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</si>
  <si>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</si>
  <si>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</si>
  <si>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</si>
  <si>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</si>
  <si>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</si>
  <si>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</si>
  <si>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</si>
  <si>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</si>
  <si>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</si>
  <si>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</si>
  <si>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</si>
  <si>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</si>
  <si>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</si>
  <si>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</si>
  <si>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</si>
  <si>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</si>
  <si>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</si>
  <si>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</si>
  <si>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</si>
  <si>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</si>
  <si>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</si>
  <si>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</si>
  <si>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</si>
  <si>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</si>
  <si>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</si>
  <si>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</si>
  <si>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</si>
  <si>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</si>
  <si>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</si>
  <si>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</si>
  <si>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</si>
  <si>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</si>
  <si>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</si>
  <si>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</si>
  <si>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</si>
  <si>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</si>
  <si>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</si>
  <si>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</si>
  <si>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</si>
  <si>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</si>
  <si>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</si>
  <si>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</si>
  <si>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</si>
  <si>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</si>
  <si>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</si>
  <si>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</si>
  <si>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</si>
  <si>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</si>
  <si>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</si>
  <si>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</si>
  <si>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</si>
  <si>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</si>
  <si>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</si>
  <si>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</si>
  <si>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</si>
  <si>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</si>
  <si>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</si>
  <si>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</si>
  <si>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</si>
  <si>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</si>
  <si>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</si>
  <si>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</si>
  <si>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</si>
  <si>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</si>
  <si>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</si>
  <si>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</si>
  <si>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</si>
  <si>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</si>
  <si>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</si>
  <si>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</si>
  <si>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</si>
  <si>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</si>
  <si>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</si>
  <si>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</si>
  <si>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</si>
  <si>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</si>
  <si>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</si>
  <si>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</si>
  <si>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</si>
  <si>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</si>
  <si>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</si>
  <si>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</si>
  <si>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</si>
  <si>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</si>
  <si>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</si>
  <si>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</si>
  <si>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</si>
  <si>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</si>
  <si>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</si>
  <si>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</si>
  <si>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</si>
  <si>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</si>
  <si>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</si>
  <si>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</si>
  <si>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</si>
  <si>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</si>
  <si>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</si>
  <si>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</si>
  <si>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</si>
  <si>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</si>
  <si>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</si>
  <si>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</si>
  <si>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</si>
  <si>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</si>
  <si>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</si>
  <si>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</si>
  <si>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</si>
  <si>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</si>
  <si>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</si>
  <si>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</si>
  <si>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</si>
  <si>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</si>
  <si>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</si>
  <si>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</si>
  <si>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</si>
  <si>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</si>
  <si>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</si>
  <si>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</si>
  <si>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</si>
  <si>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</si>
  <si>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</si>
  <si>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</si>
  <si>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</si>
  <si>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</si>
  <si>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</si>
  <si>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</si>
  <si>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</si>
  <si>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</si>
  <si>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</si>
  <si>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</si>
  <si>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</si>
  <si>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</si>
  <si>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</si>
  <si>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</si>
  <si>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</si>
  <si>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</si>
  <si>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</si>
  <si>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</si>
  <si>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</si>
  <si>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</si>
  <si>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</si>
  <si>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</si>
  <si>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</si>
  <si>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</si>
  <si>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</si>
  <si>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</si>
  <si>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</si>
  <si>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</si>
  <si>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</si>
  <si>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</si>
  <si>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</si>
  <si>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</si>
  <si>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</si>
  <si>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</si>
  <si>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</si>
  <si>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</si>
  <si>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</si>
  <si>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</si>
  <si>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</si>
  <si>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</si>
  <si>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</si>
  <si>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</si>
  <si>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</si>
  <si>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</si>
  <si>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</si>
  <si>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</si>
  <si>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</si>
  <si>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</si>
  <si>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</si>
  <si>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</si>
  <si>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</si>
  <si>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</si>
  <si>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</si>
  <si>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</si>
  <si>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</si>
  <si>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</si>
  <si>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</si>
  <si>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</si>
  <si>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</si>
  <si>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</si>
  <si>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</si>
  <si>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</si>
  <si>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</si>
  <si>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</si>
  <si>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</si>
  <si>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</si>
  <si>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</si>
  <si>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</si>
  <si>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</si>
  <si>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</si>
  <si>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</si>
  <si>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</si>
  <si>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</si>
  <si>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</si>
  <si>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</si>
  <si>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</si>
  <si>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</si>
  <si>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</si>
  <si>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</si>
  <si>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</si>
  <si>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</si>
  <si>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</si>
  <si>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</si>
  <si>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</si>
  <si>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</si>
  <si>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</si>
  <si>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</si>
  <si>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</si>
  <si>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</si>
  <si>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</si>
  <si>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</si>
  <si>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</si>
  <si>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</si>
  <si>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</si>
  <si>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</si>
  <si>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</si>
  <si>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</si>
  <si>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</si>
  <si>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</si>
  <si>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</si>
  <si>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</si>
  <si>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</si>
  <si>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</si>
  <si>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</si>
  <si>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</si>
  <si>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</si>
  <si>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</si>
  <si>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</si>
  <si>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</si>
  <si>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</si>
  <si>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</si>
  <si>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</si>
  <si>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</si>
  <si>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</si>
  <si>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</si>
  <si>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</si>
  <si>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</si>
  <si>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</si>
  <si>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</si>
  <si>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</si>
  <si>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</si>
  <si>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</si>
  <si>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</si>
  <si>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</si>
  <si>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</si>
  <si>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</si>
  <si>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</si>
  <si>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</si>
  <si>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</si>
  <si>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</si>
  <si>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</si>
  <si>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</si>
  <si>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</si>
  <si>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</si>
  <si>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</si>
  <si>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</si>
  <si>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</si>
  <si>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</si>
  <si>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</si>
  <si>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</si>
  <si>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</si>
  <si>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</si>
  <si>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</si>
  <si>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</si>
  <si>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</si>
  <si>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</si>
  <si>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</si>
  <si>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</si>
  <si>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</si>
  <si>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</si>
  <si>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</si>
  <si>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</si>
  <si>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</si>
  <si>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</si>
  <si>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</si>
  <si>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</si>
  <si>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</si>
  <si>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</si>
  <si>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</si>
  <si>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</si>
  <si>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</si>
  <si>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</si>
  <si>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</si>
  <si>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</si>
  <si>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</si>
  <si>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</si>
  <si>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</si>
  <si>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</si>
  <si>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</si>
  <si>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</si>
  <si>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</si>
  <si>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</si>
  <si>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</si>
  <si>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</si>
  <si>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</si>
  <si>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</si>
  <si>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</si>
  <si>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</si>
  <si>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</si>
  <si>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</si>
  <si>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</si>
  <si>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</si>
  <si>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</si>
  <si>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</si>
  <si>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</si>
  <si>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</si>
  <si>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</si>
  <si>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</si>
  <si>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</si>
  <si>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</si>
  <si>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</si>
  <si>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</si>
  <si>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</si>
  <si>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</si>
  <si>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</si>
  <si>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</si>
  <si>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</si>
  <si>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</si>
  <si>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</si>
  <si>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</si>
  <si>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</si>
  <si>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</si>
  <si>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</si>
  <si>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</si>
  <si>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</si>
  <si>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</si>
  <si>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</si>
  <si>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</si>
  <si>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</si>
  <si>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</si>
  <si>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</si>
  <si>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</si>
  <si>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</si>
  <si>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</si>
  <si>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</si>
  <si>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</si>
  <si>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</si>
  <si>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</si>
  <si>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</si>
  <si>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</si>
  <si>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</si>
  <si>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</si>
  <si>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</si>
  <si>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</si>
  <si>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</si>
  <si>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</si>
  <si>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</si>
  <si>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</si>
  <si>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</si>
  <si>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</si>
  <si>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</si>
  <si>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</si>
  <si>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</si>
  <si>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</si>
  <si>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</si>
  <si>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</si>
  <si>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</si>
  <si>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</si>
  <si>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</si>
  <si>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</si>
  <si>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</si>
  <si>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</si>
  <si>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</si>
  <si>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</si>
  <si>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</si>
  <si>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</si>
  <si>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</si>
  <si>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</si>
  <si>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</si>
  <si>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</si>
  <si>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</si>
  <si>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</si>
  <si>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</si>
  <si>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</si>
  <si>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</si>
  <si>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</si>
  <si>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</si>
  <si>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</si>
  <si>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</si>
  <si>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</si>
  <si>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</si>
  <si>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</si>
  <si>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</si>
  <si>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</si>
  <si>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</si>
  <si>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</si>
  <si>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</si>
  <si>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</si>
  <si>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</si>
  <si>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</si>
  <si>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</si>
  <si>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</si>
  <si>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</si>
  <si>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</si>
  <si>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</si>
  <si>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</si>
  <si>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</si>
  <si>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</si>
  <si>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</si>
  <si>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</si>
  <si>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</si>
  <si>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</si>
  <si>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</si>
  <si>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</si>
  <si>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</si>
  <si>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</si>
  <si>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</si>
  <si>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</si>
  <si>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</si>
  <si>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</si>
  <si>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</si>
  <si>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</si>
  <si>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</si>
  <si>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</si>
  <si>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</si>
  <si>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</si>
  <si>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</si>
  <si>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</si>
  <si>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</si>
  <si>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</si>
  <si>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</si>
  <si>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</si>
  <si>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</si>
  <si>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</si>
  <si>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</si>
  <si>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</si>
  <si>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</si>
  <si>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</si>
  <si>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</si>
  <si>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</si>
  <si>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</si>
  <si>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</si>
  <si>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</si>
  <si>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</si>
  <si>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</si>
  <si>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</si>
  <si>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</si>
  <si>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</si>
  <si>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</si>
  <si>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</si>
  <si>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</si>
  <si>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</si>
  <si>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</si>
  <si>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</si>
  <si>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</si>
  <si>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</si>
  <si>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</si>
  <si>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</si>
  <si>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</si>
  <si>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</si>
  <si>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</si>
  <si>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</si>
  <si>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</si>
  <si>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</si>
  <si>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</si>
  <si>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</si>
  <si>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</si>
  <si>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</si>
  <si>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</si>
  <si>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</si>
  <si>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</si>
  <si>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</si>
  <si>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</si>
  <si>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</si>
  <si>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</si>
  <si>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</si>
  <si>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</si>
  <si>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</si>
  <si>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</si>
  <si>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</si>
  <si>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</si>
  <si>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</si>
  <si>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</si>
  <si>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</si>
  <si>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</si>
  <si>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</si>
  <si>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</si>
  <si>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</si>
  <si>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</si>
  <si>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</si>
  <si>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</si>
  <si>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</si>
  <si>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</si>
  <si>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</si>
  <si>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</si>
  <si>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</si>
  <si>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</si>
  <si>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</si>
  <si>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</si>
  <si>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</si>
  <si>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</si>
  <si>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</si>
  <si>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</si>
  <si>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</si>
  <si>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</si>
  <si>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</si>
  <si>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</si>
  <si>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</si>
  <si>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</si>
  <si>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</si>
  <si>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</si>
  <si>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</si>
  <si>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</si>
  <si>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</si>
  <si>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</si>
  <si>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</si>
  <si>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</si>
  <si>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</si>
  <si>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</si>
  <si>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</si>
  <si>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</si>
  <si>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</si>
  <si>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</si>
  <si>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</si>
  <si>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</si>
  <si>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</si>
  <si>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</si>
  <si>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</si>
  <si>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</si>
  <si>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</si>
  <si>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</si>
  <si>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</si>
  <si>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</si>
  <si>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</si>
  <si>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</si>
  <si>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</si>
  <si>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</si>
  <si>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</si>
  <si>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</si>
  <si>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</si>
  <si>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</si>
  <si>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</si>
  <si>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</si>
  <si>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</si>
  <si>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</si>
  <si>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</si>
  <si>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</si>
  <si>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</si>
  <si>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</si>
  <si>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</si>
  <si>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</si>
  <si>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</si>
  <si>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</si>
  <si>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</si>
  <si>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</si>
  <si>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</si>
  <si>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</si>
  <si>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</si>
  <si>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</si>
  <si>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</si>
  <si>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</si>
  <si>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</si>
  <si>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</si>
  <si>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</si>
  <si>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</si>
  <si>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</si>
  <si>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</si>
  <si>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</si>
  <si>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</si>
  <si>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</si>
  <si>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</si>
  <si>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</si>
  <si>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</si>
  <si>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</si>
  <si>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</si>
  <si>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</si>
  <si>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</si>
  <si>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</si>
  <si>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</si>
  <si>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</si>
  <si>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</si>
  <si>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</si>
  <si>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</si>
  <si>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</si>
  <si>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</si>
  <si>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</si>
  <si>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</si>
  <si>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</si>
  <si>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</si>
  <si>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</si>
  <si>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</si>
  <si>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</si>
  <si>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</si>
  <si>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</si>
  <si>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</si>
  <si>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</si>
  <si>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</si>
  <si>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</si>
  <si>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</si>
  <si>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</si>
  <si>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</si>
  <si>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</si>
  <si>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</si>
  <si>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</si>
  <si>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</si>
  <si>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</si>
  <si>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</si>
  <si>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</si>
  <si>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</si>
  <si>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</si>
  <si>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</si>
  <si>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</si>
  <si>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</si>
  <si>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</si>
  <si>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</si>
  <si>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</si>
  <si>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</si>
  <si>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</si>
  <si>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</si>
  <si>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</si>
  <si>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</si>
  <si>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</si>
  <si>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</si>
  <si>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</si>
  <si>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</si>
  <si>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</si>
  <si>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</si>
  <si>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</si>
  <si>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</si>
  <si>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</si>
  <si>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</si>
  <si>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</si>
  <si>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</si>
  <si>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</si>
  <si>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</si>
  <si>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</si>
  <si>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</si>
  <si>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</si>
  <si>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</si>
  <si>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</si>
  <si>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</si>
  <si>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</si>
  <si>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</si>
  <si>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</si>
  <si>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</si>
  <si>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</si>
  <si>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</si>
  <si>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</si>
  <si>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</si>
  <si>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</si>
  <si>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</si>
  <si>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</si>
  <si>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</si>
  <si>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</si>
  <si>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</si>
  <si>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</si>
  <si>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</si>
  <si>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</si>
  <si>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</si>
  <si>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</si>
  <si>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</si>
  <si>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</si>
  <si>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</si>
  <si>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</si>
  <si>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</si>
  <si>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</si>
  <si>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</si>
  <si>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</si>
  <si>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</si>
  <si>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</si>
  <si>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</si>
  <si>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</si>
  <si>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</si>
  <si>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</si>
  <si>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</si>
  <si>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</si>
  <si>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</si>
  <si>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</si>
  <si>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</si>
  <si>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</si>
  <si>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</si>
  <si>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</si>
  <si>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</si>
  <si>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</si>
  <si>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</si>
  <si>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</si>
  <si>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</si>
  <si>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</si>
  <si>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</si>
  <si>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</si>
  <si>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</si>
  <si>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</si>
  <si>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</si>
  <si>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</si>
  <si>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</si>
  <si>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</si>
  <si>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</si>
  <si>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</si>
  <si>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</si>
  <si>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</si>
  <si>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</si>
  <si>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</si>
  <si>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</si>
  <si>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</si>
  <si>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</si>
  <si>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</si>
  <si>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</si>
  <si>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</si>
  <si>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</si>
  <si>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</si>
  <si>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</si>
  <si>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</si>
  <si>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</si>
  <si>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</si>
  <si>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</si>
  <si>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</si>
  <si>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</si>
  <si>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</si>
  <si>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</si>
  <si>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</si>
  <si>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</si>
  <si>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</si>
  <si>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</si>
  <si>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</si>
  <si>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</si>
  <si>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</si>
  <si>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</si>
  <si>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</si>
  <si>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</si>
  <si>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</si>
  <si>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</si>
  <si>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</si>
  <si>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</si>
  <si>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</si>
  <si>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</si>
  <si>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</si>
  <si>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</si>
  <si>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</si>
  <si>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</si>
  <si>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</si>
  <si>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</si>
  <si>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</si>
  <si>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</si>
  <si>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</si>
  <si>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</si>
  <si>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</si>
  <si>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</si>
  <si>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</si>
  <si>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</si>
  <si>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</si>
  <si>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</si>
  <si>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</si>
  <si>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</si>
  <si>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</si>
  <si>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</si>
  <si>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</si>
  <si>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</si>
  <si>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</si>
  <si>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</si>
  <si>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</si>
  <si>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</si>
  <si>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</si>
  <si>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</si>
  <si>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</si>
  <si>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</si>
  <si>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</si>
  <si>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</si>
  <si>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</si>
  <si>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</si>
  <si>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</si>
  <si>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</si>
  <si>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</si>
  <si>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</si>
  <si>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</si>
  <si>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</si>
  <si>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</si>
  <si>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</si>
  <si>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</si>
  <si>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</si>
  <si>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</si>
  <si>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</si>
  <si>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</si>
  <si>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</si>
  <si>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</si>
  <si>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</si>
  <si>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</si>
  <si>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</si>
  <si>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</si>
  <si>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</si>
  <si>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</si>
  <si>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</si>
  <si>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</si>
  <si>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</si>
  <si>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</si>
  <si>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</si>
  <si>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</si>
  <si>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</si>
  <si>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</si>
  <si>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</si>
  <si>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</si>
  <si>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</si>
  <si>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</si>
  <si>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</si>
  <si>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</si>
  <si>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</si>
  <si>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</si>
  <si>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</si>
  <si>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</si>
  <si>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</si>
  <si>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</si>
  <si>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</si>
  <si>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</si>
  <si>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</si>
  <si>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</si>
  <si>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</si>
  <si>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</si>
  <si>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</si>
  <si>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</si>
  <si>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</si>
  <si>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</si>
  <si>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</si>
  <si>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</si>
  <si>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</si>
  <si>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</si>
  <si>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</si>
  <si>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</si>
  <si>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</si>
  <si>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</si>
  <si>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</si>
  <si>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</si>
  <si>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</si>
  <si>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</si>
  <si>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</si>
  <si>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</si>
  <si>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</si>
  <si>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</si>
  <si>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</si>
  <si>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</si>
  <si>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</si>
  <si>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</si>
  <si>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</si>
  <si>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</si>
  <si>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</si>
  <si>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</si>
  <si>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</si>
  <si>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</si>
  <si>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</si>
  <si>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</si>
  <si>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</si>
  <si>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</si>
  <si>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</si>
  <si>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</si>
  <si>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</si>
  <si>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</si>
  <si>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</si>
  <si>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</si>
  <si>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</si>
  <si>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</si>
  <si>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</si>
  <si>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</si>
  <si>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</si>
  <si>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</si>
  <si>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</si>
  <si>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</si>
  <si>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</si>
  <si>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</si>
  <si>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</si>
  <si>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</si>
  <si>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</si>
  <si>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</si>
  <si>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</si>
  <si>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</si>
  <si>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</si>
  <si>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</si>
  <si>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</si>
  <si>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</si>
  <si>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</si>
  <si>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</si>
  <si>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</si>
  <si>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</si>
  <si>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</si>
  <si>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</si>
  <si>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</si>
  <si>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</si>
  <si>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</si>
  <si>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</si>
  <si>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</si>
  <si>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</si>
  <si>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</si>
  <si>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</si>
  <si>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</si>
  <si>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</si>
  <si>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</si>
  <si>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</si>
  <si>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</si>
  <si>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</si>
  <si>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</si>
  <si>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</si>
  <si>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</si>
  <si>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</si>
  <si>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</si>
  <si>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</si>
  <si>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</si>
  <si>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</si>
  <si>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</si>
  <si>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</si>
  <si>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</si>
  <si>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</si>
  <si>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</si>
  <si>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</si>
  <si>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</si>
  <si>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</si>
  <si>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</si>
  <si>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</si>
  <si>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</si>
  <si>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</si>
  <si>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</si>
  <si>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</si>
  <si>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</si>
  <si>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</si>
  <si>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</si>
  <si>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</si>
  <si>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</si>
  <si>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</si>
  <si>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</si>
  <si>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</si>
  <si>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</si>
  <si>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</si>
  <si>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</si>
  <si>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</si>
  <si>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</si>
  <si>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</si>
  <si>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</si>
  <si>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</si>
  <si>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</si>
  <si>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</si>
  <si>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</si>
  <si>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</si>
  <si>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</si>
  <si>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</si>
  <si>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</si>
  <si>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</si>
  <si>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</si>
  <si>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</si>
  <si>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</si>
  <si>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</si>
  <si>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</si>
  <si>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</si>
  <si>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</si>
  <si>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</si>
  <si>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</si>
  <si>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</si>
  <si>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</si>
  <si>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</si>
  <si>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</si>
  <si>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</si>
  <si>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</si>
  <si>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</si>
  <si>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</si>
  <si>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</si>
  <si>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</si>
  <si>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</si>
  <si>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</si>
  <si>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</si>
  <si>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</si>
  <si>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</si>
  <si>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</si>
  <si>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</si>
  <si>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</si>
  <si>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</si>
  <si>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</si>
  <si>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</si>
  <si>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</si>
  <si>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</si>
  <si>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</si>
  <si>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</si>
  <si>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</si>
  <si>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</si>
  <si>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</si>
  <si>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</si>
  <si>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</si>
  <si>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</si>
  <si>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</si>
  <si>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</si>
  <si>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</si>
  <si>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</si>
  <si>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</si>
  <si>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</si>
  <si>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</si>
  <si>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</si>
  <si>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</si>
  <si>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</si>
  <si>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</si>
  <si>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</si>
  <si>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</si>
  <si>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</si>
  <si>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</si>
  <si>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</si>
  <si>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</si>
  <si>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</si>
  <si>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</si>
  <si>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</si>
  <si>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</si>
  <si>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</si>
  <si>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</si>
  <si>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</si>
  <si>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</si>
  <si>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</si>
  <si>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</si>
  <si>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</si>
  <si>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</si>
  <si>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</si>
  <si>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</si>
  <si>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</si>
  <si>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</si>
  <si>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</si>
  <si>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</si>
  <si>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</si>
  <si>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</si>
  <si>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</si>
  <si>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</si>
  <si>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</si>
  <si>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</si>
  <si>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</si>
  <si>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</si>
  <si>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</si>
  <si>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</si>
  <si>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</si>
  <si>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</si>
  <si>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</si>
  <si>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</si>
  <si>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</si>
  <si>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</si>
  <si>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</si>
  <si>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</si>
  <si>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</si>
  <si>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</si>
  <si>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</si>
  <si>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</si>
  <si>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</si>
  <si>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</si>
  <si>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</si>
  <si>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</si>
  <si>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</si>
  <si>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</si>
  <si>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</si>
  <si>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</si>
  <si>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</si>
  <si>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</si>
  <si>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</si>
  <si>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</si>
  <si>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</si>
  <si>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</si>
  <si>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</si>
  <si>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</si>
  <si>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</si>
  <si>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</si>
  <si>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</si>
  <si>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</si>
  <si>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</si>
  <si>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</si>
  <si>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</si>
  <si>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</si>
  <si>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</si>
  <si>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</si>
  <si>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</si>
  <si>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</si>
  <si>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</si>
  <si>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</si>
  <si>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</si>
  <si>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</si>
  <si>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</si>
  <si>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</si>
  <si>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</si>
  <si>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</si>
  <si>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</si>
  <si>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</si>
  <si>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</si>
  <si>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</si>
  <si>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</si>
  <si>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</si>
  <si>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</si>
  <si>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</si>
  <si>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</si>
  <si>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</si>
  <si>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</si>
  <si>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</si>
  <si>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</si>
  <si>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</si>
  <si>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</si>
  <si>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</si>
  <si>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</si>
  <si>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</si>
  <si>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</si>
  <si>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</si>
  <si>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</si>
  <si>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</si>
  <si>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</si>
  <si>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</si>
  <si>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</si>
  <si>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</si>
  <si>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</si>
  <si>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</si>
  <si>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</si>
  <si>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</si>
  <si>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</si>
  <si>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</si>
  <si>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</si>
  <si>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</si>
  <si>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</si>
  <si>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</si>
  <si>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</si>
  <si>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</si>
  <si>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</si>
  <si>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</si>
  <si>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</si>
  <si>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</si>
  <si>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</si>
  <si>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</si>
  <si>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</si>
  <si>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</si>
  <si>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</si>
  <si>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</si>
  <si>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</si>
  <si>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</si>
  <si>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</si>
  <si>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</si>
  <si>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</si>
  <si>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</si>
  <si>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</si>
  <si>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</si>
  <si>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</si>
  <si>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</si>
  <si>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</si>
  <si>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</si>
  <si>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</si>
  <si>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</si>
  <si>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</si>
  <si>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</si>
  <si>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</si>
  <si>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</si>
  <si>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</si>
  <si>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</si>
  <si>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</si>
  <si>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</si>
  <si>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</si>
  <si>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</si>
  <si>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</si>
  <si>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</si>
  <si>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</si>
  <si>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</si>
  <si>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</si>
  <si>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</si>
  <si>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</si>
  <si>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</si>
  <si>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</si>
  <si>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</si>
  <si>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</si>
  <si>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</si>
  <si>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</si>
  <si>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</si>
  <si>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</si>
  <si>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</si>
  <si>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</si>
  <si>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</si>
  <si>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</si>
  <si>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</si>
  <si>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</si>
  <si>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</si>
  <si>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</si>
  <si>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</si>
  <si>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</si>
  <si>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</si>
  <si>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</si>
  <si>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</si>
  <si>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</si>
  <si>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</si>
  <si>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</si>
  <si>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</si>
  <si>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</si>
  <si>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</si>
  <si>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</si>
  <si>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</si>
  <si>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</si>
  <si>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</si>
  <si>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</si>
  <si>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</si>
  <si>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</si>
  <si>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</si>
  <si>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</si>
  <si>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</si>
  <si>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</si>
  <si>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</si>
  <si>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</si>
  <si>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</si>
  <si>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</si>
  <si>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</si>
  <si>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</si>
  <si>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</si>
  <si>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</si>
  <si>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</si>
  <si>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</si>
  <si>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</si>
  <si>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</si>
  <si>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</si>
  <si>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</si>
  <si>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</si>
  <si>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</si>
  <si>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</si>
  <si>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</si>
  <si>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</si>
  <si>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</si>
  <si>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</si>
  <si>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</si>
  <si>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</si>
  <si>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</si>
  <si>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</si>
  <si>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</si>
  <si>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</si>
  <si>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</si>
  <si>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</si>
  <si>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</si>
  <si>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</si>
  <si>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</si>
  <si>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</si>
  <si>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</si>
  <si>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</si>
  <si>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</si>
  <si>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</si>
  <si>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</si>
  <si>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</si>
  <si>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</si>
  <si>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</si>
  <si>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</si>
  <si>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</si>
  <si>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</si>
  <si>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</si>
  <si>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</si>
  <si>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</si>
  <si>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</si>
  <si>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</si>
  <si>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</si>
  <si>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</si>
  <si>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</si>
  <si>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</si>
  <si>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</si>
  <si>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</si>
  <si>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</si>
  <si>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</si>
  <si>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</si>
  <si>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</si>
  <si>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</si>
  <si>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</si>
  <si>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</si>
  <si>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</si>
  <si>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</si>
  <si>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</si>
  <si>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</si>
  <si>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</si>
  <si>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</si>
  <si>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</si>
  <si>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</si>
  <si>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</si>
  <si>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</si>
  <si>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</si>
  <si>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</si>
  <si>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</si>
  <si>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</si>
  <si>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</si>
  <si>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</si>
  <si>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</si>
  <si>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</si>
  <si>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</si>
  <si>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</si>
  <si>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</si>
  <si>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</si>
  <si>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</si>
  <si>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</si>
  <si>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</si>
  <si>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</si>
  <si>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</si>
  <si>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</si>
  <si>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</si>
  <si>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</si>
  <si>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</si>
  <si>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</si>
  <si>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</si>
  <si>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</si>
  <si>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</si>
  <si>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</si>
  <si>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</si>
  <si>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</si>
  <si>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</si>
  <si>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</si>
  <si>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</si>
  <si>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</si>
  <si>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</si>
  <si>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</si>
  <si>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</si>
  <si>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</si>
  <si>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</si>
  <si>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</si>
  <si>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</si>
  <si>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</si>
  <si>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</si>
  <si>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</si>
  <si>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</si>
  <si>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</si>
  <si>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</si>
  <si>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</si>
  <si>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</si>
  <si>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</si>
  <si>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</si>
  <si>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</si>
  <si>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</si>
  <si>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</si>
  <si>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</si>
  <si>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</si>
  <si>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</si>
  <si>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</si>
  <si>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</si>
  <si>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</si>
  <si>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</si>
  <si>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</si>
  <si>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</si>
  <si>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</si>
  <si>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</si>
  <si>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</si>
  <si>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</si>
  <si>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</si>
  <si>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</si>
  <si>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</si>
  <si>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</si>
  <si>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</si>
  <si>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</si>
  <si>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</si>
  <si>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</si>
  <si>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</si>
  <si>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</si>
  <si>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</si>
  <si>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</si>
  <si>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</si>
  <si>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</si>
  <si>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</si>
  <si>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</si>
  <si>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</si>
  <si>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</si>
  <si>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</si>
  <si>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</si>
  <si>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</si>
  <si>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</si>
  <si>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</si>
  <si>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</si>
  <si>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</si>
  <si>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</si>
  <si>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</si>
  <si>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</si>
  <si>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</si>
  <si>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</si>
  <si>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</si>
  <si>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</si>
  <si>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</si>
  <si>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</si>
  <si>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</si>
  <si>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</si>
  <si>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</si>
  <si>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</si>
  <si>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</si>
  <si>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</si>
  <si>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</si>
  <si>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</si>
  <si>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</si>
  <si>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</si>
  <si>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</si>
  <si>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</si>
  <si>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</si>
  <si>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</si>
  <si>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</si>
  <si>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</si>
  <si>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</si>
  <si>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</si>
  <si>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</si>
  <si>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</si>
  <si>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</si>
  <si>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</si>
  <si>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</si>
  <si>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</si>
  <si>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</si>
  <si>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</si>
  <si>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</si>
  <si>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</si>
  <si>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</si>
  <si>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</si>
  <si>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</si>
  <si>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</si>
  <si>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</si>
  <si>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</si>
  <si>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</si>
  <si>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</si>
  <si>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</si>
  <si>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</si>
  <si>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</si>
  <si>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</si>
  <si>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</si>
  <si>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</si>
  <si>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</si>
  <si>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</si>
  <si>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</si>
  <si>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</si>
  <si>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</si>
  <si>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</si>
  <si>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</si>
  <si>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</si>
  <si>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</si>
  <si>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</si>
  <si>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</si>
  <si>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</si>
  <si>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</si>
  <si>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</si>
  <si>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</si>
  <si>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</si>
  <si>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</si>
  <si>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</si>
  <si>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</si>
  <si>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</si>
  <si>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</si>
  <si>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</si>
  <si>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</si>
  <si>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</si>
  <si>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</si>
  <si>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</si>
  <si>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</si>
  <si>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</si>
  <si>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</si>
  <si>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</si>
  <si>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</si>
  <si>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</si>
  <si>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</si>
  <si>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</si>
  <si>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</si>
  <si>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</si>
  <si>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</si>
  <si>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</si>
  <si>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</si>
  <si>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</si>
  <si>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</si>
  <si>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</si>
  <si>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</si>
  <si>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</si>
  <si>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</si>
  <si>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</si>
  <si>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</si>
  <si>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</si>
  <si>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</si>
  <si>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</si>
  <si>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</si>
  <si>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</si>
  <si>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</si>
  <si>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</si>
  <si>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</si>
  <si>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</si>
  <si>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</si>
  <si>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</si>
  <si>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</si>
  <si>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</si>
  <si>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</si>
  <si>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</si>
  <si>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</si>
  <si>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</si>
  <si>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</si>
  <si>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</si>
  <si>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</si>
  <si>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</si>
  <si>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</si>
  <si>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</si>
  <si>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</si>
  <si>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</si>
  <si>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</si>
  <si>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</si>
  <si>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</si>
  <si>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</si>
  <si>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</si>
  <si>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</si>
  <si>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</si>
  <si>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</si>
  <si>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</si>
  <si>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</si>
  <si>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</si>
  <si>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</si>
  <si>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</si>
  <si>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</si>
  <si>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</si>
  <si>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</si>
  <si>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</si>
  <si>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</si>
  <si>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</si>
  <si>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</si>
  <si>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</si>
  <si>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</si>
  <si>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</si>
  <si>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</si>
  <si>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</si>
  <si>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</si>
  <si>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</si>
  <si>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</si>
  <si>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</si>
  <si>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</si>
  <si>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</si>
  <si>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</si>
  <si>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</si>
  <si>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</si>
  <si>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</si>
  <si>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</si>
  <si>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</si>
  <si>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</si>
  <si>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</si>
  <si>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</si>
  <si>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</si>
  <si>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</si>
  <si>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</si>
  <si>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</si>
  <si>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</si>
  <si>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</si>
  <si>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</si>
  <si>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</si>
  <si>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</si>
  <si>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</si>
  <si>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</si>
  <si>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</si>
  <si>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</si>
  <si>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</si>
  <si>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</si>
  <si>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</si>
  <si>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</si>
  <si>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</si>
  <si>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</si>
  <si>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</si>
  <si>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</si>
  <si>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</si>
  <si>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</si>
  <si>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</si>
  <si>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</si>
  <si>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</si>
  <si>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</si>
  <si>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</si>
  <si>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</si>
  <si>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</si>
  <si>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</si>
  <si>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</si>
  <si>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</si>
  <si>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</si>
  <si>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</si>
  <si>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</si>
  <si>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</si>
  <si>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</si>
  <si>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</si>
  <si>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</si>
  <si>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</si>
  <si>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</si>
  <si>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</si>
  <si>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</si>
  <si>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</si>
  <si>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</si>
  <si>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</si>
  <si>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</si>
  <si>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</si>
  <si>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</si>
  <si>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</si>
  <si>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</si>
  <si>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</si>
  <si>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</si>
  <si>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</si>
  <si>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</si>
  <si>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</si>
  <si>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</si>
  <si>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</si>
  <si>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</si>
  <si>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</si>
  <si>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</si>
  <si>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</si>
  <si>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</si>
  <si>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</si>
  <si>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</si>
  <si>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</si>
  <si>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</si>
  <si>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</si>
  <si>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</si>
  <si>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</si>
  <si>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</si>
  <si>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</si>
  <si>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</si>
  <si>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</si>
  <si>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</si>
  <si>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</si>
  <si>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</si>
  <si>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</si>
  <si>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</si>
  <si>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</si>
  <si>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</si>
  <si>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</si>
  <si>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</si>
  <si>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</si>
  <si>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</si>
  <si>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</si>
  <si>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</si>
  <si>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</si>
  <si>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</si>
  <si>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</si>
  <si>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</si>
  <si>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</si>
  <si>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</si>
  <si>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</si>
  <si>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</si>
  <si>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</si>
  <si>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</si>
  <si>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</si>
  <si>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</si>
  <si>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</si>
  <si>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</si>
  <si>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</si>
  <si>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</si>
  <si>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</si>
  <si>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</si>
  <si>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</si>
  <si>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</si>
  <si>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</si>
  <si>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</si>
  <si>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</si>
  <si>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</si>
  <si>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</si>
  <si>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</si>
  <si>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</si>
  <si>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</si>
  <si>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</si>
  <si>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</si>
  <si>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</si>
  <si>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</si>
  <si>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</si>
  <si>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</si>
  <si>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</si>
  <si>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</si>
  <si>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</si>
  <si>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</si>
  <si>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</si>
  <si>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</si>
  <si>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</si>
  <si>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</si>
  <si>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</si>
  <si>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</si>
  <si>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</si>
  <si>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</si>
  <si>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</si>
  <si>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</si>
  <si>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</si>
  <si>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</si>
  <si>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</si>
  <si>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</si>
  <si>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</si>
  <si>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</si>
  <si>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</si>
  <si>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</si>
  <si>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</si>
  <si>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</si>
  <si>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</si>
  <si>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</si>
  <si>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</si>
  <si>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</si>
  <si>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</si>
  <si>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</si>
  <si>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</si>
  <si>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</si>
  <si>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</si>
  <si>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</si>
  <si>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</si>
  <si>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</si>
  <si>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</si>
  <si>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</si>
  <si>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</si>
  <si>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</si>
  <si>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</si>
  <si>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</si>
  <si>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</si>
  <si>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</si>
  <si>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</si>
  <si>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</si>
  <si>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</si>
  <si>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</si>
  <si>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</si>
  <si>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</si>
  <si>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</si>
  <si>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</si>
  <si>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</si>
  <si>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</si>
  <si>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</si>
  <si>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</si>
  <si>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</si>
  <si>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</si>
  <si>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</si>
  <si>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</si>
  <si>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</si>
  <si>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</si>
  <si>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</si>
  <si>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</si>
  <si>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</si>
  <si>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</si>
  <si>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</si>
  <si>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</si>
  <si>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</si>
  <si>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</si>
  <si>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</si>
  <si>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</si>
  <si>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</si>
  <si>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</si>
  <si>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</si>
  <si>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</si>
  <si>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</si>
  <si>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</si>
  <si>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</si>
  <si>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</si>
  <si>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</si>
  <si>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</si>
  <si>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</si>
  <si>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</si>
  <si>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</si>
  <si>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</si>
  <si>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</si>
  <si>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</si>
  <si>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</si>
  <si>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</si>
  <si>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</si>
  <si>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</si>
  <si>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</si>
  <si>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</si>
  <si>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</si>
  <si>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</si>
  <si>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</si>
  <si>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</si>
  <si>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</si>
  <si>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</si>
  <si>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</si>
  <si>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</si>
  <si>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</si>
  <si>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</si>
  <si>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</si>
  <si>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</si>
  <si>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</si>
  <si>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</si>
  <si>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</si>
  <si>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</si>
  <si>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</si>
  <si>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</si>
  <si>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</si>
  <si>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</si>
  <si>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</si>
  <si>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</si>
  <si>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</si>
  <si>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</si>
  <si>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</si>
  <si>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</si>
  <si>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</si>
  <si>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</si>
  <si>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</si>
  <si>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</si>
  <si>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</si>
  <si>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</si>
  <si>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</si>
  <si>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</si>
  <si>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</si>
  <si>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</si>
  <si>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</si>
  <si>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</si>
  <si>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</si>
  <si>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</si>
  <si>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</si>
  <si>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</si>
  <si>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</si>
  <si>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</si>
  <si>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</si>
  <si>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</si>
  <si>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</si>
  <si>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</si>
  <si>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</si>
  <si>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</si>
  <si>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</si>
  <si>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</si>
  <si>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</si>
  <si>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</si>
  <si>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</si>
  <si>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</si>
  <si>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</si>
  <si>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</si>
  <si>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</si>
  <si>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</si>
  <si>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</si>
  <si>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</si>
  <si>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</si>
  <si>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</si>
  <si>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</si>
  <si>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</si>
  <si>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</si>
  <si>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</si>
  <si>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</si>
  <si>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</si>
  <si>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</si>
  <si>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</si>
  <si>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</si>
  <si>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</si>
  <si>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</si>
  <si>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</si>
  <si>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</si>
  <si>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</si>
  <si>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</si>
  <si>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</si>
  <si>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</si>
  <si>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</si>
  <si>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</si>
  <si>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</si>
  <si>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</si>
  <si>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</si>
  <si>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</si>
  <si>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</si>
  <si>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</si>
  <si>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</si>
  <si>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</si>
  <si>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</si>
  <si>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</si>
  <si>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</si>
  <si>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</si>
  <si>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</si>
  <si>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</si>
  <si>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</si>
  <si>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</si>
  <si>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</si>
  <si>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</si>
  <si>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</si>
  <si>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</si>
  <si>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</si>
  <si>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</si>
  <si>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</si>
  <si>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</si>
  <si>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</si>
  <si>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</si>
  <si>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</si>
  <si>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</si>
  <si>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</si>
  <si>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</si>
  <si>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</si>
  <si>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</si>
  <si>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</si>
  <si>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</si>
  <si>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</si>
  <si>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</si>
  <si>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</si>
  <si>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</si>
  <si>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</si>
  <si>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</si>
  <si>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</si>
  <si>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</si>
  <si>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</si>
  <si>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</si>
  <si>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</si>
  <si>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</si>
  <si>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</si>
  <si>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</si>
  <si>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</si>
  <si>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</si>
  <si>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</si>
  <si>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</si>
  <si>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</si>
  <si>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</si>
  <si>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</si>
  <si>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</si>
  <si>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</si>
  <si>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</si>
  <si>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</si>
  <si>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</si>
  <si>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</si>
  <si>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</si>
  <si>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</si>
  <si>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</si>
  <si>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</si>
  <si>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</si>
  <si>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</si>
  <si>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</si>
  <si>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</si>
  <si>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</si>
  <si>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</si>
  <si>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</si>
  <si>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</si>
  <si>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</si>
  <si>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</si>
  <si>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</si>
  <si>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</si>
  <si>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</si>
  <si>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</si>
  <si>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</si>
  <si>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</si>
  <si>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</si>
  <si>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</si>
  <si>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</si>
  <si>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</si>
  <si>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</si>
  <si>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</si>
  <si>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</si>
  <si>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</si>
  <si>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</si>
  <si>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</si>
  <si>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</si>
  <si>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</si>
  <si>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</si>
  <si>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</si>
  <si>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</si>
  <si>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</si>
  <si>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</si>
  <si>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</si>
  <si>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</si>
  <si>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</si>
  <si>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</si>
  <si>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</si>
  <si>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</si>
  <si>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</si>
  <si>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</si>
  <si>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</si>
  <si>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</si>
  <si>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</si>
  <si>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</si>
  <si>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</si>
  <si>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</si>
  <si>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</si>
  <si>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</si>
  <si>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</si>
  <si>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</si>
  <si>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</si>
  <si>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</si>
  <si>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</si>
  <si>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</si>
  <si>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</si>
  <si>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</si>
  <si>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</si>
  <si>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</si>
  <si>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</si>
  <si>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</si>
  <si>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</si>
  <si>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</si>
  <si>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</si>
  <si>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</si>
  <si>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</si>
  <si>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</si>
  <si>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</si>
  <si>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</si>
  <si>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</si>
  <si>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</si>
  <si>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</si>
  <si>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</si>
  <si>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</si>
  <si>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</si>
  <si>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</si>
  <si>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</si>
  <si>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</si>
  <si>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</si>
  <si>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</si>
  <si>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</si>
  <si>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</si>
  <si>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</si>
  <si>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</si>
  <si>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</si>
  <si>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</si>
  <si>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</si>
  <si>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</si>
  <si>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</si>
  <si>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</si>
  <si>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</si>
  <si>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</si>
  <si>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</si>
  <si>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</si>
  <si>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</si>
  <si>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</si>
  <si>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</si>
  <si>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</si>
  <si>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</si>
  <si>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</si>
  <si>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</si>
  <si>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</si>
  <si>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</si>
  <si>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</si>
  <si>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</si>
  <si>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</si>
  <si>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</si>
  <si>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</si>
  <si>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</si>
  <si>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</si>
  <si>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</si>
  <si>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</si>
  <si>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</si>
  <si>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</si>
  <si>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</si>
  <si>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</si>
  <si>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</si>
  <si>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</si>
  <si>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</si>
  <si>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</si>
  <si>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</si>
  <si>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</si>
  <si>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</si>
  <si>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</si>
  <si>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</si>
  <si>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</si>
  <si>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</si>
  <si>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</si>
  <si>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</si>
  <si>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</si>
  <si>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</si>
  <si>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</si>
  <si>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</si>
  <si>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</si>
  <si>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</si>
  <si>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</si>
  <si>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</si>
  <si>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</si>
  <si>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</si>
  <si>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</si>
  <si>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</si>
  <si>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</si>
  <si>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</si>
  <si>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</si>
  <si>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</si>
  <si>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</si>
  <si>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</si>
  <si>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</si>
  <si>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</si>
  <si>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</si>
  <si>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</si>
  <si>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</si>
  <si>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</si>
  <si>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</si>
  <si>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</si>
  <si>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</si>
  <si>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</si>
  <si>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</si>
  <si>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</si>
  <si>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</si>
  <si>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</si>
  <si>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</si>
  <si>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</si>
  <si>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</si>
  <si>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</si>
  <si>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</si>
  <si>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</si>
  <si>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</si>
  <si>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</si>
  <si>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</si>
  <si>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</si>
  <si>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</si>
  <si>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</si>
  <si>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</si>
  <si>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</si>
  <si>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</si>
  <si>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</si>
  <si>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</si>
  <si>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</si>
  <si>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</si>
  <si>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</si>
  <si>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</si>
  <si>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</si>
  <si>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</si>
  <si>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</si>
  <si>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</si>
  <si>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</si>
  <si>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</si>
  <si>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</si>
  <si>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</si>
  <si>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</si>
  <si>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</si>
  <si>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</si>
  <si>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</si>
  <si>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</si>
  <si>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</si>
  <si>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</si>
  <si>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</si>
  <si>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</si>
  <si>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</si>
  <si>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</si>
  <si>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</si>
  <si>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</si>
  <si>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</si>
  <si>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</si>
  <si>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</si>
  <si>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</si>
  <si>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</si>
  <si>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</si>
  <si>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</si>
  <si>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</si>
  <si>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</si>
  <si>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</si>
  <si>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</si>
  <si>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</si>
  <si>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</si>
  <si>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</si>
  <si>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</si>
  <si>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</si>
  <si>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</si>
  <si>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</si>
  <si>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</si>
  <si>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</si>
  <si>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</si>
  <si>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</si>
  <si>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</si>
  <si>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</si>
  <si>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</si>
  <si>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</si>
  <si>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</si>
  <si>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</si>
  <si>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</si>
  <si>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</si>
  <si>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</si>
  <si>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</si>
  <si>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</si>
  <si>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</si>
  <si>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</si>
  <si>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</si>
  <si>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</si>
  <si>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</si>
  <si>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</si>
  <si>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</si>
  <si>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</si>
  <si>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</si>
  <si>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</si>
  <si>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</si>
  <si>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</si>
  <si>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</si>
  <si>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</si>
  <si>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</si>
  <si>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</si>
  <si>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</si>
  <si>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</si>
  <si>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</si>
  <si>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</si>
  <si>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</si>
  <si>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</si>
  <si>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</si>
  <si>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</si>
  <si>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</si>
  <si>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</si>
  <si>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</si>
  <si>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</si>
  <si>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</si>
  <si>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</si>
  <si>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</si>
  <si>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</si>
  <si>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</si>
  <si>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</si>
  <si>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</si>
  <si>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</si>
  <si>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</si>
  <si>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</si>
  <si>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</si>
  <si>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</si>
  <si>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</si>
  <si>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</si>
  <si>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</si>
  <si>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</si>
  <si>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</si>
  <si>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</si>
  <si>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</si>
  <si>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</si>
  <si>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</si>
  <si>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</si>
  <si>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</si>
  <si>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</si>
  <si>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</si>
  <si>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</si>
  <si>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</si>
  <si>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</si>
  <si>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</si>
  <si>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</si>
  <si>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</si>
  <si>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</si>
  <si>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</si>
  <si>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</si>
  <si>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</si>
  <si>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</si>
  <si>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</si>
  <si>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</si>
  <si>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</si>
  <si>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</si>
  <si>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</si>
  <si>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</si>
  <si>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</si>
  <si>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</si>
  <si>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</si>
  <si>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</si>
  <si>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</si>
  <si>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</si>
  <si>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</si>
  <si>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</si>
  <si>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</si>
  <si>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</si>
  <si>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</si>
  <si>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</si>
  <si>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</si>
  <si>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</si>
  <si>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</si>
  <si>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</si>
  <si>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</si>
  <si>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</si>
  <si>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</si>
  <si>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</si>
  <si>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</si>
  <si>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</si>
  <si>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</si>
  <si>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</si>
  <si>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</si>
  <si>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</si>
  <si>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</si>
  <si>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</si>
  <si>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</si>
  <si>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</si>
  <si>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</si>
  <si>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</si>
  <si>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</si>
  <si>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</si>
  <si>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</si>
  <si>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</si>
  <si>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</si>
  <si>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</si>
  <si>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</si>
  <si>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</si>
  <si>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</si>
  <si>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</si>
  <si>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</si>
  <si>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</si>
  <si>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</si>
  <si>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</si>
  <si>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</si>
  <si>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</si>
  <si>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</si>
  <si>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</si>
  <si>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</si>
  <si>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</si>
  <si>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</si>
  <si>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</si>
  <si>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</si>
  <si>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</si>
  <si>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</si>
  <si>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</si>
  <si>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</si>
  <si>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</si>
  <si>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</si>
  <si>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</si>
  <si>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</si>
  <si>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</si>
  <si>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</si>
  <si>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</si>
  <si>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</si>
  <si>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</si>
  <si>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</si>
  <si>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</si>
  <si>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</si>
  <si>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</si>
  <si>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</si>
  <si>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</si>
  <si>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</si>
  <si>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</si>
  <si>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</si>
  <si>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</si>
  <si>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</si>
  <si>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</si>
  <si>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</si>
  <si>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</si>
  <si>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</si>
  <si>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</si>
  <si>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</si>
  <si>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</si>
  <si>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</si>
  <si>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</si>
  <si>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</si>
  <si>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</si>
  <si>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</si>
  <si>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</si>
  <si>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</si>
  <si>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</si>
  <si>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</si>
  <si>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</si>
  <si>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</si>
  <si>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</si>
  <si>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</si>
  <si>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</si>
  <si>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</si>
  <si>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</si>
  <si>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</si>
  <si>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</si>
  <si>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</si>
  <si>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</si>
  <si>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</si>
  <si>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</si>
  <si>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</si>
  <si>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</si>
  <si>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</si>
  <si>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</si>
  <si>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</si>
  <si>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</si>
  <si>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</si>
  <si>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</si>
  <si>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</si>
  <si>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</si>
  <si>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</si>
  <si>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</si>
  <si>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</si>
  <si>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</si>
  <si>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</si>
  <si>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</si>
  <si>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</si>
  <si>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</si>
  <si>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</si>
  <si>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</si>
  <si>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</si>
  <si>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</si>
  <si>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</si>
  <si>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</si>
  <si>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</si>
  <si>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</si>
  <si>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</si>
  <si>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</si>
  <si>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</si>
  <si>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</si>
  <si>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</si>
  <si>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</si>
  <si>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</si>
  <si>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</si>
  <si>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</si>
  <si>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</si>
  <si>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</si>
  <si>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</si>
  <si>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</si>
  <si>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</si>
  <si>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</si>
  <si>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</si>
  <si>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</si>
  <si>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</si>
  <si>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</si>
  <si>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</si>
  <si>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</si>
  <si>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</si>
  <si>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</si>
  <si>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</si>
  <si>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</si>
  <si>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</si>
  <si>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</si>
  <si>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</si>
  <si>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</si>
  <si>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</si>
  <si>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</si>
  <si>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</si>
  <si>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</si>
  <si>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</si>
  <si>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</si>
  <si>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</si>
  <si>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</si>
  <si>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</si>
  <si>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</si>
  <si>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</si>
  <si>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</si>
  <si>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</si>
  <si>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</si>
  <si>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</si>
  <si>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</si>
  <si>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</si>
  <si>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</si>
  <si>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</si>
  <si>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</si>
  <si>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</si>
  <si>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</si>
  <si>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</si>
  <si>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</si>
  <si>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</si>
  <si>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</si>
  <si>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</si>
  <si>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</si>
  <si>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</si>
  <si>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</si>
  <si>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</si>
  <si>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</si>
  <si>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</si>
  <si>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</si>
  <si>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</si>
  <si>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</si>
  <si>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</si>
  <si>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</si>
  <si>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</si>
  <si>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</si>
  <si>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</si>
  <si>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</si>
  <si>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</si>
  <si>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</si>
  <si>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</si>
  <si>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</si>
  <si>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</si>
  <si>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</si>
  <si>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</si>
  <si>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</si>
  <si>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</si>
  <si>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</si>
  <si>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</si>
  <si>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</si>
  <si>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</si>
  <si>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</si>
  <si>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</si>
  <si>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</si>
  <si>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</si>
  <si>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</si>
  <si>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</si>
  <si>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</si>
  <si>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</si>
  <si>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</si>
  <si>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</si>
  <si>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</si>
  <si>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</si>
  <si>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</si>
  <si>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</si>
  <si>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</si>
  <si>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</si>
  <si>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</si>
  <si>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</si>
  <si>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</si>
  <si>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</si>
  <si>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</si>
  <si>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</si>
  <si>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</si>
  <si>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</si>
  <si>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</si>
  <si>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</si>
  <si>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</si>
  <si>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</si>
  <si>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</si>
  <si>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</si>
  <si>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</si>
  <si>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</si>
  <si>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</si>
  <si>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</si>
  <si>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</si>
  <si>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</si>
  <si>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</si>
  <si>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</si>
  <si>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</si>
  <si>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</si>
  <si>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</si>
  <si>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</si>
  <si>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</si>
  <si>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</si>
  <si>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</si>
  <si>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</si>
  <si>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</si>
  <si>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</si>
  <si>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</si>
  <si>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</si>
  <si>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</si>
  <si>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</si>
  <si>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</si>
  <si>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</si>
  <si>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</si>
  <si>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</si>
  <si>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</si>
  <si>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</si>
  <si>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</si>
  <si>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</si>
  <si>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</si>
  <si>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</si>
  <si>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</si>
  <si>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</si>
  <si>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</si>
  <si>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</si>
  <si>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</si>
  <si>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</si>
  <si>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</si>
  <si>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</si>
  <si>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</si>
  <si>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</si>
  <si>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</si>
  <si>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</si>
  <si>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</si>
  <si>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</si>
  <si>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</si>
  <si>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</si>
  <si>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</si>
  <si>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</si>
  <si>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</si>
  <si>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</si>
  <si>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</si>
  <si>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</si>
  <si>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</si>
  <si>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</si>
  <si>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</si>
  <si>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</si>
  <si>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</si>
  <si>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</si>
  <si>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</si>
  <si>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</si>
  <si>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</si>
  <si>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</si>
  <si>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</si>
  <si>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</si>
  <si>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</si>
  <si>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</si>
  <si>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</si>
  <si>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</si>
  <si>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</si>
  <si>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</si>
  <si>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</si>
  <si>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</si>
  <si>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</si>
  <si>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</si>
  <si>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</si>
  <si>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</si>
  <si>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</si>
  <si>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</si>
  <si>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</si>
  <si>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</si>
  <si>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</si>
  <si>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</si>
  <si>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</si>
  <si>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</si>
  <si>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</si>
  <si>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</si>
  <si>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</si>
  <si>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</si>
  <si>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</si>
  <si>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</si>
  <si>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</si>
  <si>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</si>
  <si>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</si>
  <si>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</si>
  <si>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</si>
  <si>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</si>
  <si>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</si>
  <si>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</si>
  <si>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</si>
  <si>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</si>
  <si>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</si>
  <si>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</si>
  <si>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</si>
  <si>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</si>
  <si>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</si>
  <si>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</si>
  <si>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</si>
  <si>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</si>
  <si>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</si>
  <si>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</si>
  <si>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</si>
  <si>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</si>
  <si>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</si>
  <si>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</si>
  <si>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</si>
  <si>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</si>
  <si>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</si>
  <si>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</si>
  <si>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</si>
  <si>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</si>
  <si>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</si>
  <si>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</si>
  <si>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</si>
  <si>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</si>
  <si>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</si>
  <si>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</si>
  <si>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</si>
  <si>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</si>
  <si>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</si>
  <si>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</si>
  <si>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</si>
  <si>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</si>
  <si>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</si>
  <si>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</si>
  <si>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</si>
  <si>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</si>
  <si>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</si>
  <si>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</si>
  <si>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</si>
  <si>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</si>
  <si>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</si>
  <si>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</si>
  <si>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</si>
  <si>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</si>
  <si>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</si>
  <si>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</si>
  <si>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</si>
  <si>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</si>
  <si>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</si>
  <si>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</si>
  <si>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</si>
  <si>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</si>
  <si>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</si>
  <si>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</si>
  <si>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</si>
  <si>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</si>
  <si>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</si>
  <si>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</si>
  <si>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</si>
  <si>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</si>
  <si>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</si>
  <si>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</si>
  <si>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</si>
  <si>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</si>
  <si>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</si>
  <si>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</si>
  <si>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</si>
  <si>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</si>
  <si>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</si>
  <si>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</si>
  <si>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</si>
  <si>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</si>
  <si>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</si>
  <si>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</si>
  <si>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</si>
  <si>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</si>
  <si>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</si>
  <si>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</si>
  <si>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</si>
  <si>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</si>
  <si>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</si>
  <si>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</si>
  <si>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</si>
  <si>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</si>
  <si>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</si>
  <si>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</si>
  <si>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</si>
  <si>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</si>
  <si>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</si>
  <si>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</si>
  <si>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</si>
  <si>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</si>
  <si>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</si>
  <si>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</si>
  <si>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</si>
  <si>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</si>
  <si>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</si>
  <si>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</si>
  <si>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</si>
  <si>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</si>
  <si>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</si>
  <si>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</si>
  <si>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</si>
  <si>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</si>
  <si>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</si>
  <si>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</si>
  <si>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</si>
  <si>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</si>
  <si>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</si>
  <si>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</si>
  <si>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</si>
  <si>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</si>
  <si>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</si>
  <si>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</si>
  <si>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</si>
  <si>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</si>
  <si>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</si>
  <si>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</si>
  <si>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</si>
  <si>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</si>
  <si>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</si>
  <si>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</si>
  <si>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</si>
  <si>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</si>
  <si>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</si>
  <si>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</si>
  <si>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</si>
  <si>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</si>
  <si>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</si>
  <si>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</si>
  <si>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</si>
  <si>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</si>
  <si>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</si>
  <si>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</si>
  <si>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</si>
  <si>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</si>
  <si>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</si>
  <si>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</si>
  <si>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</si>
  <si>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</si>
  <si>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</si>
  <si>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</si>
  <si>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</si>
  <si>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</si>
  <si>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</si>
  <si>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</si>
  <si>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</si>
  <si>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</si>
  <si>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</si>
  <si>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</si>
  <si>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</si>
  <si>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</si>
  <si>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</si>
  <si>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</si>
  <si>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</si>
  <si>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</si>
  <si>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</si>
  <si>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</si>
  <si>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</si>
  <si>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</si>
  <si>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</si>
  <si>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</si>
  <si>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</si>
  <si>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</si>
  <si>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</si>
  <si>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</si>
  <si>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</si>
  <si>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</si>
  <si>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</si>
  <si>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</si>
  <si>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</si>
  <si>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</si>
  <si>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</si>
  <si>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</si>
  <si>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</si>
  <si>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</si>
  <si>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</si>
  <si>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</si>
  <si>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</si>
  <si>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</si>
  <si>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</si>
  <si>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</si>
  <si>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</si>
  <si>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</si>
  <si>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</si>
  <si>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</si>
  <si>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</si>
  <si>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</si>
  <si>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</si>
  <si>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</si>
  <si>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</si>
  <si>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</si>
  <si>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</si>
  <si>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</si>
  <si>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</si>
  <si>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</si>
  <si>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</si>
  <si>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</si>
  <si>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</si>
  <si>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</si>
  <si>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</si>
  <si>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</si>
  <si>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</si>
  <si>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</si>
  <si>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</si>
  <si>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</si>
  <si>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</si>
  <si>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</si>
  <si>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</si>
  <si>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</si>
  <si>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</si>
  <si>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</si>
  <si>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</si>
  <si>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</si>
  <si>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</si>
  <si>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</si>
  <si>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</si>
  <si>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</si>
  <si>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</si>
  <si>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</si>
  <si>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</si>
  <si>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</si>
  <si>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</si>
  <si>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</si>
  <si>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</si>
  <si>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</si>
  <si>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</si>
  <si>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</si>
  <si>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</si>
  <si>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</si>
  <si>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</si>
  <si>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</si>
  <si>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</si>
  <si>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</si>
  <si>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</si>
  <si>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</si>
  <si>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</si>
  <si>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</si>
  <si>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</si>
  <si>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</si>
  <si>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</si>
  <si>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</si>
  <si>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</si>
  <si>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</si>
  <si>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</si>
  <si>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</si>
  <si>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</si>
  <si>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</si>
  <si>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</si>
  <si>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</si>
  <si>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</si>
  <si>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</si>
  <si>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</si>
  <si>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</si>
  <si>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</si>
  <si>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</si>
  <si>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</si>
  <si>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</si>
  <si>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</si>
  <si>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</si>
  <si>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</si>
  <si>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</si>
  <si>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</si>
  <si>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</si>
  <si>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</si>
  <si>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</si>
  <si>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</si>
  <si>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</si>
  <si>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</si>
  <si>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</si>
  <si>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</si>
  <si>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</si>
  <si>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</si>
  <si>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</si>
  <si>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</si>
  <si>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</si>
  <si>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</si>
  <si>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</si>
  <si>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</si>
  <si>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</si>
  <si>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</si>
  <si>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</si>
  <si>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</si>
  <si>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</si>
  <si>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</si>
  <si>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</si>
  <si>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</si>
  <si>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</si>
  <si>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</si>
  <si>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</si>
  <si>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</si>
  <si>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</si>
  <si>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</si>
  <si>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</si>
  <si>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</si>
  <si>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</si>
  <si>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</si>
  <si>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</si>
  <si>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</si>
  <si>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</si>
  <si>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</si>
  <si>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</si>
  <si>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</si>
  <si>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</si>
  <si>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</si>
  <si>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</si>
  <si>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</si>
  <si>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</si>
  <si>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</si>
  <si>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</si>
  <si>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</si>
  <si>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</si>
  <si>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</si>
  <si>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</si>
  <si>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</si>
  <si>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</si>
  <si>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</si>
  <si>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</si>
  <si>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</si>
  <si>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</si>
  <si>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</si>
  <si>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</si>
  <si>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</si>
  <si>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</si>
  <si>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</si>
  <si>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</si>
  <si>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</si>
  <si>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</si>
  <si>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</si>
  <si>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</si>
  <si>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</si>
  <si>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</si>
  <si>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</si>
  <si>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</si>
  <si>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</si>
  <si>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</si>
  <si>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</si>
  <si>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</si>
  <si>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</si>
  <si>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</si>
  <si>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</si>
  <si>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</si>
  <si>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</si>
  <si>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</si>
  <si>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</si>
  <si>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</si>
  <si>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</si>
  <si>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</si>
  <si>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</si>
  <si>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</si>
  <si>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</si>
  <si>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</si>
  <si>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</si>
  <si>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</si>
  <si>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</si>
  <si>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</si>
  <si>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</si>
  <si>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</si>
  <si>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</si>
  <si>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</si>
  <si>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</si>
  <si>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</si>
  <si>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</si>
  <si>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</si>
  <si>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</si>
  <si>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</si>
  <si>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</si>
  <si>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</si>
  <si>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</si>
  <si>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</si>
  <si>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</si>
  <si>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</si>
  <si>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</si>
  <si>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</si>
  <si>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</si>
  <si>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</si>
  <si>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</si>
  <si>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</si>
  <si>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</si>
  <si>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</si>
  <si>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</si>
  <si>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</si>
  <si>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</si>
  <si>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</si>
  <si>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</si>
  <si>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</si>
  <si>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</si>
  <si>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</si>
  <si>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</si>
  <si>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</si>
  <si>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</si>
  <si>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</si>
  <si>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</si>
  <si>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</si>
  <si>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</si>
  <si>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</si>
  <si>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</si>
  <si>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</si>
  <si>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</si>
  <si>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</si>
  <si>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</si>
  <si>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</si>
  <si>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</si>
  <si>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</si>
  <si>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</si>
  <si>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</si>
  <si>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</si>
  <si>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</si>
  <si>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</si>
  <si>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</si>
  <si>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</si>
  <si>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</si>
  <si>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</si>
  <si>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</si>
  <si>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</si>
  <si>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</si>
  <si>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</si>
  <si>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</si>
  <si>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</si>
  <si>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</si>
  <si>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</si>
  <si>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</si>
  <si>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</si>
  <si>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</si>
  <si>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</si>
  <si>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</si>
  <si>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</si>
  <si>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</si>
  <si>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</si>
  <si>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</si>
  <si>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</si>
  <si>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</si>
  <si>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</si>
  <si>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</si>
  <si>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</si>
  <si>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</si>
  <si>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</si>
  <si>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</si>
  <si>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</si>
  <si>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</si>
  <si>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</si>
  <si>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</si>
  <si>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</si>
  <si>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</si>
  <si>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</si>
  <si>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</si>
  <si>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</si>
  <si>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</si>
  <si>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</si>
  <si>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</si>
  <si>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</si>
  <si>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</si>
  <si>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</si>
  <si>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</si>
  <si>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</si>
  <si>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</si>
  <si>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</si>
  <si>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</si>
  <si>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</si>
  <si>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</si>
  <si>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</si>
  <si>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</si>
  <si>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</si>
  <si>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</si>
  <si>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</si>
  <si>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</si>
  <si>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</si>
  <si>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</si>
  <si>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</si>
  <si>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</si>
  <si>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</si>
  <si>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</si>
  <si>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</si>
  <si>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</si>
  <si>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</si>
  <si>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</si>
  <si>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</si>
  <si>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</si>
  <si>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</si>
  <si>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</si>
  <si>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</si>
  <si>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</si>
  <si>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</si>
  <si>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</si>
  <si>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</si>
  <si>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</si>
  <si>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</si>
  <si>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</si>
  <si>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</si>
  <si>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</si>
  <si>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</si>
  <si>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</si>
  <si>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</si>
  <si>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</si>
  <si>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</si>
  <si>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</si>
  <si>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</si>
  <si>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</si>
  <si>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</si>
  <si>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</si>
  <si>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</si>
  <si>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</si>
  <si>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</si>
  <si>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</si>
  <si>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</si>
  <si>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</si>
  <si>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</si>
  <si>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</si>
  <si>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</si>
  <si>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</si>
  <si>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</si>
  <si>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</si>
  <si>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</si>
  <si>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</si>
  <si>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</si>
  <si>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</si>
  <si>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</si>
  <si>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</si>
  <si>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</si>
  <si>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</si>
  <si>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</si>
  <si>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</si>
  <si>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</si>
  <si>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</si>
  <si>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</si>
  <si>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</si>
  <si>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</si>
  <si>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</si>
  <si>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</si>
  <si>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</si>
  <si>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</si>
  <si>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</si>
  <si>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</si>
  <si>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</si>
  <si>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</si>
  <si>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</si>
  <si>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</si>
  <si>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</si>
  <si>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</si>
  <si>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</si>
  <si>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</si>
  <si>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</si>
  <si>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</si>
  <si>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</si>
  <si>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</si>
  <si>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</si>
  <si>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</si>
  <si>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</si>
  <si>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</si>
  <si>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</si>
  <si>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</si>
  <si>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</si>
  <si>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</si>
  <si>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</si>
  <si>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</si>
  <si>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</si>
  <si>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</si>
  <si>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</si>
  <si>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</si>
  <si>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</si>
  <si>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</si>
  <si>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</si>
  <si>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</si>
  <si>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</si>
  <si>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</si>
  <si>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</si>
  <si>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</si>
  <si>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</si>
  <si>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</si>
  <si>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</si>
  <si>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</si>
  <si>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</si>
  <si>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</si>
  <si>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</si>
  <si>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</si>
  <si>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</si>
  <si>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</si>
  <si>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</si>
  <si>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</si>
  <si>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</si>
  <si>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</si>
  <si>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</si>
  <si>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</si>
  <si>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</si>
  <si>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</si>
  <si>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</si>
  <si>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</si>
  <si>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</si>
  <si>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</si>
  <si>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</si>
  <si>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</si>
  <si>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</si>
  <si>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</si>
  <si>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</si>
  <si>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</si>
  <si>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</si>
  <si>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</si>
  <si>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</si>
  <si>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</si>
  <si>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</si>
  <si>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</si>
  <si>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</si>
  <si>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</si>
  <si>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</si>
  <si>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</si>
  <si>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</si>
  <si>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</si>
  <si>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</si>
  <si>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</si>
  <si>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</si>
  <si>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</si>
  <si>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</si>
  <si>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</si>
  <si>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</si>
  <si>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</si>
  <si>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</si>
  <si>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</si>
  <si>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</si>
  <si>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</si>
  <si>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</si>
  <si>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</si>
  <si>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</si>
  <si>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</si>
  <si>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</si>
  <si>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</si>
  <si>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</si>
  <si>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</si>
  <si>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</si>
  <si>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</si>
  <si>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</si>
  <si>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</si>
  <si>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</si>
  <si>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</si>
  <si>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</si>
  <si>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</si>
  <si>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</si>
  <si>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</si>
  <si>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</si>
  <si>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</si>
  <si>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</si>
  <si>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</si>
  <si>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</si>
  <si>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</si>
  <si>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</si>
  <si>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</si>
  <si>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</si>
  <si>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</si>
  <si>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</si>
  <si>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</si>
  <si>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</si>
  <si>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</si>
  <si>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</si>
  <si>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</si>
  <si>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</si>
  <si>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</si>
  <si>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</si>
  <si>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</si>
  <si>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</si>
  <si>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</si>
  <si>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</si>
  <si>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</si>
  <si>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</si>
  <si>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</si>
  <si>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</si>
  <si>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</si>
  <si>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</si>
  <si>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</si>
  <si>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</si>
  <si>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</si>
  <si>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</si>
  <si>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</si>
  <si>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</si>
  <si>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</si>
  <si>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</si>
  <si>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</si>
  <si>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</si>
  <si>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</si>
  <si>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</si>
  <si>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</si>
  <si>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</si>
  <si>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</si>
  <si>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</si>
  <si>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</si>
  <si>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</si>
  <si>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</si>
  <si>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</si>
  <si>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</si>
  <si>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</si>
  <si>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</si>
  <si>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</si>
  <si>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</si>
  <si>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</si>
  <si>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</si>
  <si>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</si>
  <si>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</si>
  <si>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</si>
  <si>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</si>
  <si>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</si>
  <si>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</si>
  <si>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</si>
  <si>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</si>
  <si>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</si>
  <si>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</si>
  <si>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</si>
  <si>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</si>
  <si>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</si>
  <si>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</si>
  <si>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</si>
  <si>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</si>
  <si>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</si>
  <si>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</si>
  <si>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</si>
  <si>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</si>
  <si>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</si>
  <si>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</si>
  <si>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</si>
  <si>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</si>
  <si>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</si>
  <si>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</si>
  <si>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</si>
  <si>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</si>
  <si>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</si>
  <si>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</si>
  <si>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</si>
  <si>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</si>
  <si>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</si>
  <si>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</si>
  <si>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</si>
  <si>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</si>
  <si>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</si>
  <si>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</si>
  <si>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</si>
  <si>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</si>
  <si>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</si>
  <si>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</si>
  <si>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</si>
  <si>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</si>
  <si>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</si>
  <si>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</si>
  <si>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</si>
  <si>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</si>
  <si>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</si>
  <si>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</si>
  <si>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</si>
  <si>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</si>
  <si>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</si>
  <si>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</si>
  <si>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</si>
  <si>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</si>
  <si>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</si>
  <si>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</si>
  <si>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</si>
  <si>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</si>
  <si>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</si>
  <si>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</si>
  <si>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</si>
  <si>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</si>
  <si>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</si>
  <si>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</si>
  <si>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</si>
  <si>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</si>
  <si>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</si>
  <si>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</si>
  <si>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</si>
  <si>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</si>
  <si>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</si>
  <si>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</si>
  <si>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</si>
  <si>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</si>
  <si>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</si>
  <si>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</si>
  <si>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</si>
  <si>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</si>
  <si>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</si>
  <si>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</si>
  <si>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</si>
  <si>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</si>
  <si>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</si>
  <si>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</si>
  <si>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</si>
  <si>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</si>
  <si>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</si>
  <si>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</si>
  <si>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</si>
  <si>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</si>
  <si>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</si>
  <si>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</si>
  <si>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</si>
  <si>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</si>
  <si>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</si>
  <si>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</si>
  <si>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</si>
  <si>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</si>
  <si>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</si>
  <si>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</si>
  <si>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</si>
  <si>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</si>
  <si>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</si>
  <si>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</si>
  <si>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</si>
  <si>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</si>
  <si>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</si>
  <si>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</si>
  <si>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</si>
  <si>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</si>
  <si>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</si>
  <si>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</si>
  <si>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</si>
  <si>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</si>
  <si>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</si>
  <si>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</si>
  <si>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</si>
  <si>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</si>
  <si>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</si>
  <si>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</si>
  <si>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</si>
  <si>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</si>
  <si>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</si>
  <si>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</si>
  <si>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</si>
  <si>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</si>
  <si>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</si>
  <si>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</si>
  <si>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</si>
  <si>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</si>
  <si>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</si>
  <si>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</si>
  <si>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</si>
  <si>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</si>
  <si>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</si>
  <si>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</si>
  <si>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</si>
  <si>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</si>
  <si>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</si>
  <si>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</si>
  <si>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</si>
  <si>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</si>
  <si>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</si>
  <si>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</si>
  <si>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</si>
  <si>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</si>
  <si>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</si>
  <si>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</si>
  <si>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</si>
  <si>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</si>
  <si>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</si>
  <si>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</si>
  <si>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</si>
  <si>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</si>
  <si>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</si>
  <si>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</si>
  <si>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</si>
  <si>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</si>
  <si>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</si>
  <si>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</si>
  <si>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</si>
  <si>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</si>
  <si>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</si>
  <si>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</si>
  <si>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</si>
  <si>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</si>
  <si>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</si>
  <si>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</si>
  <si>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</si>
  <si>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</si>
  <si>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</si>
  <si>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</si>
  <si>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</si>
  <si>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</si>
  <si>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</si>
  <si>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</si>
  <si>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</si>
  <si>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</si>
  <si>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</si>
  <si>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</si>
  <si>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</si>
  <si>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</si>
  <si>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</si>
  <si>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</si>
  <si>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</si>
  <si>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</si>
  <si>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</si>
  <si>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</si>
  <si>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</si>
  <si>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</si>
  <si>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</si>
  <si>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</si>
  <si>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</si>
  <si>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</si>
  <si>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</si>
  <si>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</si>
  <si>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</si>
  <si>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</si>
  <si>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</si>
  <si>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</si>
  <si>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</si>
  <si>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</si>
  <si>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</si>
  <si>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</si>
  <si>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</si>
  <si>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</si>
  <si>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</si>
  <si>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</si>
  <si>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</si>
  <si>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</si>
  <si>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</si>
  <si>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</si>
  <si>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</si>
  <si>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</si>
  <si>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</si>
  <si>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</si>
  <si>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</si>
  <si>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</si>
  <si>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</si>
  <si>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</si>
  <si>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</si>
  <si>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</si>
  <si>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</si>
  <si>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</si>
  <si>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</si>
  <si>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</si>
  <si>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</si>
  <si>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</si>
  <si>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</si>
  <si>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</si>
  <si>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</si>
  <si>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</si>
  <si>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</si>
  <si>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</si>
  <si>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</si>
  <si>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</si>
  <si>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</si>
  <si>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</si>
  <si>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</si>
  <si>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</si>
  <si>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</si>
  <si>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</si>
  <si>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</si>
  <si>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</si>
  <si>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</si>
  <si>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</si>
  <si>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</si>
  <si>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</si>
  <si>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</si>
  <si>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</si>
  <si>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</si>
  <si>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</si>
  <si>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</si>
  <si>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</si>
  <si>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</si>
  <si>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</si>
  <si>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</si>
  <si>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</si>
  <si>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</si>
  <si>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</si>
  <si>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</si>
  <si>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</si>
  <si>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</si>
  <si>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</si>
  <si>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</si>
  <si>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</si>
  <si>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</si>
  <si>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</si>
  <si>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</si>
  <si>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</si>
  <si>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</si>
  <si>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</si>
  <si>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</si>
  <si>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</si>
  <si>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</si>
  <si>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</si>
  <si>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</si>
  <si>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</si>
  <si>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</si>
  <si>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</si>
  <si>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</si>
  <si>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</si>
  <si>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</si>
  <si>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</si>
  <si>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</si>
  <si>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</si>
  <si>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</si>
  <si>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</si>
  <si>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</si>
  <si>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</si>
  <si>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</si>
  <si>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</si>
  <si>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</si>
  <si>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</si>
  <si>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</si>
  <si>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</si>
  <si>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</si>
  <si>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</si>
  <si>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</si>
  <si>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</si>
  <si>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</si>
  <si>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</si>
  <si>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</si>
  <si>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</si>
  <si>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</si>
  <si>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</si>
  <si>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</si>
  <si>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</si>
  <si>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</si>
  <si>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</si>
  <si>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</si>
  <si>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</si>
  <si>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</si>
  <si>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</si>
  <si>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</si>
  <si>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</si>
  <si>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</si>
  <si>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</si>
  <si>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</si>
  <si>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</si>
  <si>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</si>
  <si>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</si>
  <si>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</si>
  <si>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</si>
  <si>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</si>
  <si>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</si>
  <si>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</si>
  <si>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</si>
  <si>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</si>
  <si>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</si>
  <si>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</si>
  <si>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</si>
  <si>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</si>
  <si>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</si>
  <si>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</si>
  <si>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</si>
  <si>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</si>
  <si>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</si>
  <si>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</si>
  <si>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</si>
  <si>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</si>
  <si>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</si>
  <si>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</si>
  <si>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</si>
  <si>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</si>
  <si>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</si>
  <si>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</si>
  <si>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</si>
  <si>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</si>
  <si>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</si>
  <si>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</si>
  <si>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</si>
  <si>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</si>
  <si>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</si>
  <si>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</si>
  <si>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</si>
  <si>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</si>
  <si>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</si>
  <si>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</si>
  <si>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</si>
  <si>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</si>
  <si>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</si>
  <si>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</si>
  <si>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</si>
  <si>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</si>
  <si>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</si>
  <si>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</si>
  <si>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</si>
  <si>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</si>
  <si>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</si>
  <si>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</si>
  <si>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</si>
  <si>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</si>
  <si>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</si>
  <si>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</si>
  <si>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</si>
  <si>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</si>
  <si>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</si>
  <si>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</si>
  <si>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</si>
  <si>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</si>
  <si>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</si>
  <si>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</si>
  <si>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</si>
  <si>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</si>
  <si>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</si>
  <si>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</si>
  <si>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</si>
  <si>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</si>
  <si>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</si>
  <si>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</si>
  <si>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</si>
  <si>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</si>
  <si>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</si>
  <si>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</si>
  <si>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</si>
  <si>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</si>
  <si>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</si>
  <si>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</si>
  <si>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</si>
  <si>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</si>
  <si>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</si>
  <si>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</si>
  <si>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</si>
  <si>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</si>
  <si>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</si>
  <si>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</si>
  <si>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</si>
  <si>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</si>
  <si>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</si>
  <si>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</si>
  <si>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</si>
  <si>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</si>
  <si>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</si>
  <si>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</si>
  <si>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</si>
  <si>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</si>
  <si>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</si>
  <si>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</si>
  <si>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</si>
  <si>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</si>
  <si>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</si>
  <si>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</si>
  <si>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</si>
  <si>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</si>
  <si>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</si>
  <si>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</si>
  <si>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</si>
  <si>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</si>
  <si>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</si>
  <si>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</si>
  <si>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</si>
  <si>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</si>
  <si>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</si>
  <si>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</si>
  <si>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</si>
  <si>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</si>
  <si>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</si>
  <si>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</si>
  <si>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</si>
  <si>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</si>
  <si>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</si>
  <si>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</si>
  <si>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</si>
  <si>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</si>
  <si>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</si>
  <si>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</si>
  <si>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</si>
  <si>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</si>
  <si>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</si>
  <si>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</si>
  <si>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</si>
  <si>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</si>
  <si>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</si>
  <si>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</si>
  <si>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</si>
  <si>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</si>
  <si>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</si>
  <si>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</si>
  <si>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</si>
  <si>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</si>
  <si>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</si>
  <si>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</si>
  <si>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</si>
  <si>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</si>
  <si>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</si>
  <si>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</si>
  <si>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</si>
  <si>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</si>
  <si>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</si>
  <si>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</si>
  <si>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</si>
  <si>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</si>
  <si>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</si>
  <si>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</si>
  <si>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</si>
  <si>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</si>
  <si>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</si>
  <si>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</si>
  <si>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</si>
  <si>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</si>
  <si>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</si>
  <si>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</si>
  <si>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</si>
  <si>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</si>
  <si>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</si>
  <si>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</si>
  <si>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</si>
  <si>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</si>
  <si>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</si>
  <si>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</si>
  <si>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</si>
  <si>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</si>
  <si>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</si>
  <si>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</si>
  <si>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</si>
  <si>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</si>
  <si>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</si>
  <si>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</si>
  <si>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</si>
  <si>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</si>
  <si>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</si>
  <si>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</si>
  <si>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</si>
  <si>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</si>
  <si>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</si>
  <si>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</si>
  <si>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</si>
  <si>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</si>
  <si>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</si>
  <si>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</si>
  <si>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</si>
  <si>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</si>
  <si>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</si>
  <si>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</si>
  <si>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</si>
  <si>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</si>
  <si>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</si>
  <si>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</si>
  <si>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</si>
  <si>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</si>
  <si>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</si>
  <si>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</si>
  <si>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</si>
  <si>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</si>
  <si>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</si>
  <si>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</si>
  <si>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</si>
  <si>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</si>
  <si>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</si>
  <si>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</si>
  <si>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</si>
  <si>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</si>
  <si>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</si>
  <si>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</si>
  <si>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</si>
  <si>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</si>
  <si>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</si>
  <si>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</si>
  <si>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</si>
  <si>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</si>
  <si>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</si>
  <si>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</si>
  <si>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</si>
  <si>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</si>
  <si>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</si>
  <si>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</si>
  <si>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</si>
  <si>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</si>
  <si>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</si>
  <si>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</si>
  <si>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</si>
  <si>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</si>
  <si>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</si>
  <si>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</si>
  <si>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</si>
  <si>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</si>
  <si>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</si>
  <si>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</si>
  <si>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</si>
  <si>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</si>
  <si>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</si>
  <si>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</si>
  <si>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</si>
  <si>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</si>
  <si>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</si>
  <si>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</si>
  <si>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</si>
  <si>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</si>
  <si>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</si>
  <si>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</si>
  <si>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</si>
  <si>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</si>
  <si>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</si>
  <si>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</si>
  <si>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</si>
  <si>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</si>
  <si>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</si>
  <si>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</si>
  <si>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</si>
  <si>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</si>
  <si>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</si>
  <si>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</si>
  <si>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</si>
  <si>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</si>
  <si>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</si>
  <si>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</si>
  <si>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</si>
  <si>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</si>
  <si>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</si>
  <si>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</si>
  <si>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</si>
  <si>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</si>
  <si>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</si>
  <si>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</si>
  <si>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</si>
  <si>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</si>
  <si>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</si>
  <si>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</si>
  <si>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</si>
  <si>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</si>
  <si>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</si>
  <si>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</si>
  <si>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</si>
  <si>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</si>
  <si>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</si>
  <si>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</si>
  <si>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</si>
  <si>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</si>
  <si>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</si>
  <si>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</si>
  <si>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</si>
  <si>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</si>
  <si>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</si>
  <si>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</si>
  <si>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</si>
  <si>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</si>
  <si>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</si>
  <si>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</si>
  <si>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</si>
  <si>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</si>
  <si>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</si>
  <si>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</si>
  <si>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</si>
  <si>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</si>
  <si>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</si>
  <si>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</si>
  <si>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</si>
  <si>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</si>
  <si>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</si>
  <si>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</si>
  <si>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</si>
  <si>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</si>
  <si>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</si>
  <si>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</si>
  <si>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</si>
  <si>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</si>
  <si>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</si>
  <si>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</si>
  <si>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</si>
  <si>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</si>
  <si>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</si>
  <si>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</si>
  <si>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</si>
  <si>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</si>
  <si>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</si>
  <si>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</si>
  <si>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</si>
  <si>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</si>
  <si>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</si>
  <si>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</si>
  <si>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</si>
  <si>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</si>
  <si>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</si>
  <si>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</si>
  <si>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</si>
  <si>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</si>
  <si>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</si>
  <si>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</si>
  <si>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</si>
  <si>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</si>
  <si>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</si>
  <si>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</si>
  <si>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</si>
  <si>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</si>
  <si>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</si>
  <si>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</si>
  <si>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</si>
  <si>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</si>
  <si>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</si>
  <si>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</si>
  <si>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</si>
  <si>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</si>
  <si>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</si>
  <si>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</si>
  <si>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</si>
  <si>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</si>
  <si>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</si>
  <si>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</si>
  <si>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</si>
  <si>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</si>
  <si>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</si>
  <si>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</si>
  <si>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</si>
  <si>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</si>
  <si>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</si>
  <si>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</si>
  <si>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</si>
  <si>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</si>
  <si>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</si>
  <si>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</si>
  <si>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</si>
  <si>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</si>
  <si>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</si>
  <si>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</si>
  <si>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</si>
  <si>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</si>
  <si>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</si>
  <si>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</si>
  <si>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</si>
  <si>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</si>
  <si>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</si>
  <si>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</si>
  <si>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</si>
  <si>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</si>
  <si>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</si>
  <si>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</si>
  <si>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</si>
  <si>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</si>
  <si>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</si>
  <si>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</si>
  <si>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</si>
  <si>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</si>
  <si>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</si>
  <si>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</si>
  <si>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</si>
  <si>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</si>
  <si>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</si>
  <si>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</si>
  <si>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</si>
  <si>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</si>
  <si>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</si>
  <si>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</si>
  <si>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</si>
  <si>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</si>
  <si>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</si>
  <si>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</si>
  <si>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</si>
  <si>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</si>
  <si>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</si>
  <si>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</si>
  <si>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</si>
  <si>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</si>
  <si>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</si>
  <si>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</si>
  <si>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</si>
  <si>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</si>
  <si>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</si>
  <si>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</si>
  <si>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</si>
  <si>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</si>
  <si>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</si>
  <si>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</si>
  <si>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</si>
  <si>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</si>
  <si>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</si>
  <si>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</si>
  <si>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</si>
  <si>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</si>
  <si>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</si>
  <si>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</si>
  <si>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</si>
  <si>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</si>
  <si>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</si>
  <si>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</si>
  <si>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</si>
  <si>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</si>
  <si>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</si>
  <si>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</si>
  <si>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</si>
  <si>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</si>
  <si>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</si>
  <si>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</si>
  <si>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</si>
  <si>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</si>
  <si>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</si>
  <si>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</si>
  <si>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</si>
  <si>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</si>
  <si>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</si>
  <si>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</si>
  <si>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</si>
  <si>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</si>
  <si>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</si>
  <si>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</si>
  <si>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</si>
  <si>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</si>
  <si>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</si>
  <si>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</si>
  <si>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</si>
  <si>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</si>
  <si>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</si>
  <si>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</si>
  <si>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</si>
  <si>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</si>
  <si>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</si>
  <si>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</si>
  <si>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</si>
  <si>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</si>
  <si>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</si>
  <si>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</si>
  <si>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</si>
  <si>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</si>
  <si>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</si>
  <si>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</si>
  <si>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</si>
  <si>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</si>
  <si>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</si>
  <si>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</si>
  <si>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</si>
  <si>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</si>
  <si>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</si>
  <si>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</si>
  <si>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</si>
  <si>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</si>
  <si>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</si>
  <si>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</si>
  <si>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</si>
  <si>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</si>
  <si>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</si>
  <si>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</si>
  <si>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</si>
  <si>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</si>
  <si>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</si>
  <si>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</si>
  <si>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</si>
  <si>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</si>
  <si>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</si>
  <si>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</si>
  <si>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</si>
  <si>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</si>
  <si>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</si>
  <si>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</si>
  <si>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</si>
  <si>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</si>
  <si>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</si>
  <si>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</si>
  <si>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</si>
  <si>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</si>
  <si>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</si>
  <si>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</si>
  <si>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</si>
  <si>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</si>
  <si>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</si>
  <si>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</si>
  <si>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</si>
  <si>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</si>
  <si>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</si>
  <si>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</si>
  <si>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</si>
  <si>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</si>
  <si>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</si>
  <si>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</si>
  <si>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</si>
  <si>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</si>
  <si>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</si>
  <si>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</si>
  <si>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</si>
  <si>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</si>
  <si>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</si>
  <si>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</si>
  <si>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</si>
  <si>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</si>
  <si>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</si>
  <si>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</si>
  <si>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</si>
  <si>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</si>
  <si>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</si>
  <si>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</si>
  <si>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</si>
  <si>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</si>
  <si>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</si>
  <si>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</si>
  <si>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</si>
  <si>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</si>
  <si>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</si>
  <si>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</si>
  <si>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</si>
  <si>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</si>
  <si>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</si>
  <si>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</si>
  <si>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</si>
  <si>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</si>
  <si>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</si>
  <si>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</si>
  <si>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</si>
  <si>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</si>
  <si>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</si>
  <si>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</si>
  <si>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</si>
  <si>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</si>
  <si>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</si>
  <si>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</si>
  <si>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</si>
  <si>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</si>
  <si>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</si>
  <si>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</si>
  <si>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</si>
  <si>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</si>
  <si>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</si>
  <si>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</si>
  <si>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</si>
  <si>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</si>
  <si>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</si>
  <si>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</si>
  <si>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</si>
  <si>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</si>
  <si>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</si>
  <si>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</si>
  <si>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</si>
  <si>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</si>
  <si>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</si>
  <si>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</si>
  <si>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</si>
  <si>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</si>
  <si>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</si>
  <si>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</si>
  <si>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</si>
  <si>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</si>
  <si>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</si>
  <si>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</si>
  <si>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</si>
  <si>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</si>
  <si>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</si>
  <si>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</si>
  <si>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</si>
  <si>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</si>
  <si>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</si>
  <si>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</si>
  <si>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</si>
  <si>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</si>
  <si>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</si>
  <si>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</si>
  <si>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</si>
  <si>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</si>
  <si>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</si>
  <si>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</si>
  <si>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</si>
  <si>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</si>
  <si>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</si>
  <si>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</si>
  <si>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</si>
  <si>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</si>
  <si>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</si>
  <si>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</si>
  <si>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</si>
  <si>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</si>
  <si>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</si>
  <si>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</si>
  <si>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</si>
  <si>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</si>
  <si>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</si>
  <si>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</si>
  <si>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</si>
  <si>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</si>
  <si>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</si>
  <si>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</si>
  <si>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</si>
  <si>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</si>
  <si>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</si>
  <si>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</si>
  <si>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</si>
  <si>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</si>
  <si>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</si>
  <si>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</si>
  <si>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</si>
  <si>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</si>
  <si>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</si>
  <si>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</si>
  <si>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</si>
  <si>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</si>
  <si>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</si>
  <si>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</si>
  <si>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</si>
  <si>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</si>
  <si>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</si>
  <si>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</si>
  <si>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</si>
  <si>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</si>
  <si>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</si>
  <si>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</si>
  <si>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</si>
  <si>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</si>
  <si>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</si>
  <si>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</si>
  <si>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</si>
  <si>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</si>
  <si>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</si>
  <si>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</si>
  <si>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</si>
  <si>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</si>
  <si>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</si>
  <si>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</si>
  <si>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</si>
  <si>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</si>
  <si>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</si>
  <si>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</si>
  <si>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</si>
  <si>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</si>
  <si>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</si>
  <si>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</si>
  <si>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</si>
  <si>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</si>
  <si>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</si>
  <si>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</si>
  <si>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</si>
  <si>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</si>
  <si>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</si>
  <si>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</si>
  <si>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</si>
  <si>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</si>
  <si>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</si>
  <si>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</si>
  <si>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</si>
  <si>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</si>
  <si>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</si>
  <si>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</si>
  <si>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</si>
  <si>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</si>
  <si>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</si>
  <si>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</si>
  <si>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</si>
  <si>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</si>
  <si>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</si>
  <si>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</si>
  <si>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</si>
  <si>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</si>
  <si>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</si>
  <si>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</si>
  <si>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</si>
  <si>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</si>
  <si>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</si>
  <si>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</si>
  <si>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</si>
  <si>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</si>
  <si>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</si>
  <si>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</si>
  <si>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</si>
  <si>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</si>
  <si>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</si>
  <si>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</si>
  <si>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</si>
  <si>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</si>
  <si>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</si>
  <si>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</si>
  <si>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</si>
  <si>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</si>
  <si>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</si>
  <si>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</si>
  <si>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</si>
  <si>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</si>
  <si>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</si>
  <si>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</si>
  <si>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</si>
  <si>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</si>
  <si>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</si>
  <si>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</si>
  <si>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</si>
  <si>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</si>
  <si>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</si>
  <si>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</si>
  <si>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</si>
  <si>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</si>
  <si>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</si>
  <si>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</si>
  <si>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</si>
  <si>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</si>
  <si>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</si>
  <si>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</si>
  <si>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</si>
  <si>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</si>
  <si>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</si>
  <si>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</si>
  <si>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</si>
  <si>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</si>
  <si>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</si>
  <si>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</si>
  <si>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</si>
  <si>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</si>
  <si>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</si>
  <si>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</si>
  <si>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</si>
  <si>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</si>
  <si>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</si>
  <si>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</si>
  <si>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</si>
  <si>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</si>
  <si>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</si>
  <si>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</si>
  <si>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</si>
  <si>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</si>
  <si>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</si>
  <si>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</si>
  <si>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</si>
  <si>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</si>
  <si>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</si>
  <si>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</si>
  <si>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</si>
  <si>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</si>
  <si>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</si>
  <si>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</si>
  <si>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</si>
  <si>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</si>
  <si>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</si>
  <si>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</si>
  <si>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</si>
  <si>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</si>
  <si>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</si>
  <si>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</si>
  <si>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</si>
  <si>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</si>
  <si>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</si>
  <si>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</si>
  <si>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</si>
  <si>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</si>
  <si>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</si>
  <si>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</si>
  <si>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</si>
  <si>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</si>
  <si>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</si>
  <si>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</si>
  <si>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</si>
  <si>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</si>
  <si>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</si>
  <si>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</si>
  <si>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</si>
  <si>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</si>
  <si>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</si>
  <si>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</si>
  <si>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</si>
  <si>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</si>
  <si>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</si>
  <si>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</si>
  <si>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</si>
  <si>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</si>
  <si>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</si>
  <si>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</si>
  <si>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</si>
  <si>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</si>
  <si>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</si>
  <si>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</si>
  <si>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</si>
  <si>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</si>
  <si>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</si>
  <si>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</si>
  <si>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</si>
  <si>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</si>
  <si>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</si>
  <si>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</si>
  <si>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</si>
  <si>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</si>
  <si>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</si>
  <si>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</si>
  <si>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</si>
  <si>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</si>
  <si>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</si>
  <si>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</si>
  <si>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</si>
  <si>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</si>
  <si>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</si>
  <si>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</si>
  <si>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</si>
  <si>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</si>
  <si>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</si>
  <si>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</si>
  <si>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</si>
  <si>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</si>
  <si>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</si>
  <si>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</si>
  <si>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</si>
  <si>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</si>
  <si>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</si>
  <si>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</si>
  <si>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</si>
  <si>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</si>
  <si>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</si>
  <si>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</si>
  <si>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</si>
  <si>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</si>
  <si>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</si>
  <si>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</si>
  <si>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</si>
  <si>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</si>
  <si>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</si>
  <si>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</si>
  <si>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</si>
  <si>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</si>
  <si>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</si>
  <si>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</si>
  <si>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</si>
  <si>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</si>
  <si>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</si>
  <si>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</si>
  <si>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</si>
  <si>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</si>
  <si>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</si>
  <si>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</si>
  <si>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</si>
  <si>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</si>
  <si>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</si>
  <si>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</si>
  <si>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</si>
  <si>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</si>
  <si>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</si>
  <si>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</si>
  <si>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</si>
  <si>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</si>
  <si>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</si>
  <si>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</si>
  <si>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</si>
  <si>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</si>
  <si>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</si>
  <si>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</si>
  <si>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</si>
  <si>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</si>
  <si>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</si>
  <si>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</si>
  <si>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</si>
  <si>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</si>
  <si>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</si>
  <si>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</si>
  <si>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</si>
  <si>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</si>
  <si>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</si>
  <si>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</si>
  <si>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</si>
  <si>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</si>
  <si>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</si>
  <si>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</si>
  <si>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</si>
  <si>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</si>
  <si>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</si>
  <si>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</si>
  <si>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</si>
  <si>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</si>
  <si>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</si>
  <si>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</si>
  <si>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</si>
  <si>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</si>
  <si>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</si>
  <si>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</si>
  <si>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</si>
  <si>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</si>
  <si>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</si>
  <si>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</si>
  <si>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</si>
  <si>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</si>
  <si>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</si>
  <si>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</si>
  <si>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</si>
  <si>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</si>
  <si>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</si>
  <si>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</si>
  <si>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</si>
  <si>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</si>
  <si>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</si>
  <si>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</si>
  <si>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</si>
  <si>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</si>
  <si>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</si>
  <si>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</si>
  <si>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</si>
  <si>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</si>
  <si>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</si>
  <si>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</si>
  <si>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</si>
  <si>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</si>
  <si>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</si>
  <si>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</si>
  <si>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</si>
  <si>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</si>
  <si>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</si>
  <si>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</si>
  <si>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</si>
  <si>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</si>
  <si>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</si>
  <si>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</si>
  <si>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</si>
  <si>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</si>
  <si>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</si>
  <si>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</si>
  <si>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</si>
  <si>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</si>
  <si>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</si>
  <si>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</si>
  <si>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</si>
  <si>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</si>
  <si>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</si>
  <si>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</si>
  <si>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</si>
  <si>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</si>
  <si>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</si>
  <si>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</si>
  <si>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</si>
  <si>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</si>
  <si>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</si>
  <si>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</si>
  <si>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</si>
  <si>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</si>
  <si>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</si>
  <si>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</si>
  <si>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</si>
  <si>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</si>
  <si>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</si>
  <si>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</si>
  <si>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</si>
  <si>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</si>
  <si>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</si>
  <si>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</si>
  <si>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</si>
  <si>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</si>
  <si>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</si>
  <si>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</si>
  <si>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</si>
  <si>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</si>
  <si>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</si>
  <si>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</si>
  <si>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</si>
  <si>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</si>
  <si>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</si>
  <si>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</si>
  <si>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</si>
  <si>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</si>
  <si>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</si>
  <si>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</si>
  <si>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</si>
  <si>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</si>
  <si>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</si>
  <si>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</si>
  <si>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</si>
  <si>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</si>
  <si>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</si>
  <si>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</si>
  <si>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</si>
  <si>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</si>
  <si>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</si>
  <si>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</si>
  <si>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</si>
  <si>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</si>
  <si>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</si>
  <si>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</si>
  <si>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</si>
  <si>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</si>
  <si>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</si>
  <si>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</si>
  <si>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</si>
  <si>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</si>
  <si>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</si>
  <si>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</si>
  <si>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</si>
  <si>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</si>
  <si>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</si>
  <si>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</si>
  <si>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</si>
  <si>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</si>
  <si>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</si>
  <si>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</si>
  <si>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</si>
  <si>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</si>
  <si>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</si>
  <si>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</si>
  <si>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</si>
  <si>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</si>
  <si>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</si>
  <si>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</si>
  <si>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</si>
  <si>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</si>
  <si>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</si>
  <si>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</si>
  <si>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</si>
  <si>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</si>
  <si>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</si>
  <si>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</si>
  <si>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</si>
  <si>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</si>
  <si>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</si>
  <si>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</si>
  <si>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</si>
  <si>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</si>
  <si>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</si>
  <si>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</si>
  <si>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</si>
  <si>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</si>
  <si>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</si>
  <si>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</si>
  <si>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</si>
  <si>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</si>
  <si>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</si>
  <si>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</si>
  <si>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</si>
  <si>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</si>
  <si>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</si>
  <si>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</si>
  <si>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</si>
  <si>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</si>
  <si>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</si>
  <si>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</si>
  <si>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</si>
  <si>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</si>
  <si>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</si>
  <si>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</si>
  <si>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</si>
  <si>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</si>
  <si>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</si>
  <si>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</si>
  <si>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</si>
  <si>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</si>
  <si>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</si>
  <si>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</si>
  <si>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</si>
  <si>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</si>
  <si>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</si>
  <si>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</si>
  <si>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</si>
  <si>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</si>
  <si>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</si>
  <si>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</si>
  <si>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</si>
  <si>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</si>
  <si>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</si>
  <si>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</si>
  <si>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</si>
  <si>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</si>
  <si>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</si>
  <si>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</si>
  <si>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</si>
  <si>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</si>
  <si>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</si>
  <si>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</si>
  <si>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</si>
  <si>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</si>
  <si>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</si>
  <si>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</si>
  <si>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</si>
  <si>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</si>
  <si>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</si>
  <si>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</si>
  <si>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</si>
  <si>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</si>
  <si>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</si>
  <si>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</si>
  <si>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</si>
  <si>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</si>
  <si>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</si>
  <si>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</si>
  <si>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</si>
  <si>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</si>
  <si>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</si>
  <si>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</si>
  <si>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</si>
  <si>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</si>
  <si>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</si>
  <si>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</si>
  <si>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</si>
  <si>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</si>
  <si>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</si>
  <si>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</si>
  <si>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</si>
  <si>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</si>
  <si>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</si>
  <si>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</si>
  <si>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</si>
  <si>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</si>
  <si>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</si>
  <si>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</si>
  <si>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</si>
  <si>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</si>
  <si>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</si>
  <si>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</si>
  <si>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</si>
  <si>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</si>
  <si>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</si>
  <si>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</si>
  <si>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</si>
  <si>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</si>
  <si>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</si>
  <si>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</si>
  <si>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</si>
  <si>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</si>
  <si>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</si>
  <si>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</si>
  <si>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</si>
  <si>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</si>
  <si>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</si>
  <si>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</si>
  <si>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</si>
  <si>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</si>
  <si>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</si>
  <si>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</si>
  <si>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</si>
  <si>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</si>
  <si>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</si>
  <si>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</si>
  <si>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</si>
  <si>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</si>
  <si>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</si>
  <si>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</si>
  <si>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</si>
  <si>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</si>
  <si>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</si>
  <si>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</si>
  <si>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</si>
  <si>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</si>
  <si>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</si>
  <si>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</si>
  <si>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</si>
  <si>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</si>
  <si>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</si>
  <si>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</si>
  <si>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</si>
  <si>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</si>
  <si>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</si>
  <si>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</si>
  <si>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</si>
  <si>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</si>
  <si>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</si>
  <si>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</si>
  <si>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</si>
  <si>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</si>
  <si>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</si>
  <si>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</si>
  <si>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</si>
  <si>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</si>
  <si>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</si>
  <si>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</si>
  <si>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</si>
  <si>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</si>
  <si>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</si>
  <si>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</si>
  <si>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</si>
  <si>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</si>
  <si>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</si>
  <si>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</si>
  <si>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</si>
  <si>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</si>
  <si>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</si>
  <si>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</si>
  <si>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</si>
  <si>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</si>
  <si>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</si>
  <si>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</si>
  <si>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</si>
  <si>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</si>
  <si>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</si>
  <si>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</si>
  <si>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</si>
  <si>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</si>
  <si>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</si>
  <si>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</si>
  <si>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</si>
  <si>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</si>
  <si>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</si>
  <si>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</si>
  <si>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</si>
  <si>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</si>
  <si>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</si>
  <si>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</si>
  <si>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</si>
  <si>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</si>
  <si>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</si>
  <si>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</si>
  <si>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</si>
  <si>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</si>
  <si>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</si>
  <si>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</si>
  <si>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</si>
  <si>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</si>
  <si>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</si>
  <si>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</si>
  <si>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</si>
  <si>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</si>
  <si>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</si>
  <si>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</si>
  <si>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</si>
  <si>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</si>
  <si>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</si>
  <si>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</si>
  <si>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</si>
  <si>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</si>
  <si>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</si>
  <si>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</si>
  <si>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</si>
  <si>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</si>
  <si>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</si>
  <si>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</si>
  <si>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</si>
  <si>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</si>
  <si>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</si>
  <si>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</si>
  <si>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</si>
  <si>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</si>
  <si>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</si>
  <si>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</si>
  <si>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</si>
  <si>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</si>
  <si>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</si>
  <si>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</si>
  <si>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</si>
  <si>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</si>
  <si>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</si>
  <si>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</si>
  <si>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</si>
  <si>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</si>
  <si>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</si>
  <si>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</si>
  <si>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</si>
  <si>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</si>
  <si>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</si>
  <si>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</si>
  <si>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</si>
  <si>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</si>
  <si>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</si>
  <si>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</si>
  <si>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</si>
  <si>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</si>
  <si>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</si>
  <si>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</si>
  <si>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</si>
  <si>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</si>
  <si>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</si>
  <si>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</si>
  <si>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</si>
  <si>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</si>
  <si>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</si>
  <si>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</si>
  <si>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</si>
  <si>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</si>
  <si>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</si>
  <si>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</si>
  <si>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</si>
  <si>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</si>
  <si>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</si>
  <si>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</si>
  <si>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</si>
  <si>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</si>
  <si>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</si>
  <si>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</si>
  <si>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</si>
  <si>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</si>
  <si>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</si>
  <si>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</si>
  <si>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</si>
  <si>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</si>
  <si>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</si>
  <si>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</si>
  <si>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</si>
  <si>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</si>
  <si>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</si>
  <si>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</si>
  <si>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</si>
  <si>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</si>
  <si>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</si>
  <si>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</si>
  <si>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</si>
  <si>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</si>
  <si>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</si>
  <si>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</si>
  <si>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</si>
  <si>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</si>
  <si>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</si>
  <si>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</si>
  <si>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</si>
  <si>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</si>
  <si>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</si>
  <si>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</si>
  <si>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</si>
  <si>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</si>
  <si>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</si>
  <si>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</si>
  <si>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</si>
  <si>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</si>
  <si>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</si>
  <si>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</si>
  <si>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</si>
  <si>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</si>
  <si>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</si>
  <si>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</si>
  <si>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</si>
  <si>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</si>
  <si>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</si>
  <si>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</si>
  <si>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</si>
  <si>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</si>
  <si>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</si>
  <si>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</si>
  <si>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</si>
  <si>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</si>
  <si>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</si>
  <si>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</si>
  <si>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</si>
  <si>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</si>
  <si>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</si>
  <si>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</si>
  <si>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</si>
  <si>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</si>
  <si>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</si>
  <si>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</si>
  <si>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</si>
  <si>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</si>
  <si>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</si>
  <si>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</si>
  <si>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</si>
  <si>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</si>
  <si>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</si>
  <si>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</si>
  <si>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</si>
  <si>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</si>
  <si>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</si>
  <si>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</si>
  <si>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</si>
  <si>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</si>
  <si>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</si>
  <si>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</si>
  <si>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</si>
  <si>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</si>
  <si>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</si>
  <si>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</si>
  <si>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</si>
  <si>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</si>
  <si>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</si>
  <si>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</si>
  <si>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</si>
  <si>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</si>
  <si>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</si>
  <si>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</si>
  <si>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</si>
  <si>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</si>
  <si>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</si>
  <si>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</si>
  <si>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</si>
  <si>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</si>
  <si>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</si>
  <si>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</si>
  <si>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</si>
  <si>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</si>
  <si>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</si>
  <si>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</si>
  <si>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</si>
  <si>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</si>
  <si>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</si>
  <si>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</si>
  <si>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</si>
  <si>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</si>
  <si>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</si>
  <si>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</si>
  <si>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</si>
  <si>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</si>
  <si>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</si>
  <si>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</si>
  <si>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</si>
  <si>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</si>
  <si>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</si>
  <si>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</si>
  <si>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</si>
  <si>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</si>
  <si>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</si>
  <si>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</si>
  <si>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</si>
  <si>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</si>
  <si>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</si>
  <si>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</si>
  <si>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</si>
  <si>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</si>
  <si>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</si>
  <si>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</si>
  <si>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</si>
  <si>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</si>
  <si>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</si>
  <si>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</si>
  <si>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</si>
  <si>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</si>
  <si>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</si>
  <si>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</si>
  <si>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</si>
  <si>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</si>
  <si>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</si>
  <si>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</si>
  <si>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</si>
  <si>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</si>
  <si>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</si>
  <si>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</si>
  <si>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</si>
  <si>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</si>
  <si>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</si>
  <si>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</si>
  <si>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</si>
  <si>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</si>
  <si>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</si>
  <si>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</si>
  <si>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</si>
  <si>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</si>
  <si>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</si>
  <si>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</si>
  <si>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</si>
  <si>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</si>
  <si>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</si>
  <si>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</si>
  <si>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</si>
  <si>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</si>
  <si>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</si>
  <si>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</si>
  <si>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</si>
  <si>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</si>
  <si>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</si>
  <si>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</si>
  <si>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</si>
  <si>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</si>
  <si>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</si>
  <si>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</si>
  <si>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</si>
  <si>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</si>
  <si>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</si>
  <si>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</si>
  <si>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</si>
  <si>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</si>
  <si>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</si>
  <si>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</si>
  <si>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</si>
  <si>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</si>
  <si>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</si>
  <si>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</si>
  <si>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</si>
  <si>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</si>
  <si>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</si>
  <si>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</si>
  <si>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</si>
  <si>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</si>
  <si>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</si>
  <si>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</si>
  <si>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</si>
  <si>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</si>
  <si>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</si>
  <si>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</si>
  <si>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</si>
  <si>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</si>
  <si>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</si>
  <si>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</si>
  <si>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</si>
  <si>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</si>
  <si>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</si>
  <si>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</si>
  <si>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</si>
  <si>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</si>
  <si>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</si>
  <si>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</si>
  <si>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</si>
  <si>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</si>
  <si>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</si>
  <si>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</si>
  <si>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</si>
  <si>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</si>
  <si>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</si>
  <si>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</si>
  <si>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</si>
  <si>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</si>
  <si>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</si>
  <si>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</si>
  <si>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</si>
  <si>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</si>
  <si>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</si>
  <si>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</si>
  <si>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</si>
  <si>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</si>
  <si>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</si>
  <si>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</si>
  <si>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</si>
  <si>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</si>
  <si>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</si>
  <si>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</si>
  <si>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</si>
  <si>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</si>
  <si>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</si>
  <si>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</si>
  <si>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</si>
  <si>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</si>
  <si>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</si>
  <si>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</si>
  <si>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</si>
  <si>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</si>
  <si>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</si>
  <si>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</si>
  <si>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</si>
  <si>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</si>
  <si>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</si>
  <si>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</si>
  <si>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</si>
  <si>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</si>
  <si>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</si>
  <si>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</si>
  <si>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</si>
  <si>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</si>
  <si>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</si>
  <si>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</si>
  <si>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</si>
  <si>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</si>
  <si>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</si>
  <si>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</si>
  <si>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</si>
  <si>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</si>
  <si>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</si>
  <si>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</si>
  <si>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</si>
  <si>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</si>
  <si>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</si>
  <si>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</si>
  <si>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</si>
  <si>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</si>
  <si>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</si>
  <si>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</si>
  <si>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</si>
  <si>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</si>
  <si>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</si>
  <si>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</si>
  <si>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</si>
  <si>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</si>
  <si>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</si>
  <si>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</si>
  <si>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</si>
  <si>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</si>
  <si>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</si>
  <si>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</si>
  <si>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</si>
  <si>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</si>
  <si>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</si>
  <si>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</si>
  <si>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</si>
  <si>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</si>
  <si>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</si>
  <si>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</si>
  <si>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</si>
  <si>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</si>
  <si>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</si>
  <si>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</si>
  <si>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</si>
  <si>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</si>
  <si>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</si>
  <si>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</si>
  <si>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</si>
  <si>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</si>
  <si>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</si>
  <si>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</si>
  <si>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</si>
  <si>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</si>
  <si>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</si>
  <si>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</si>
  <si>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</si>
  <si>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</si>
  <si>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</si>
  <si>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</si>
  <si>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</si>
  <si>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</si>
  <si>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</si>
  <si>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</si>
  <si>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</si>
  <si>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</si>
  <si>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</si>
  <si>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</si>
  <si>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</si>
  <si>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</si>
  <si>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</si>
  <si>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</si>
  <si>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</si>
  <si>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</si>
  <si>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</si>
  <si>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</si>
  <si>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</si>
  <si>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</si>
  <si>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</si>
  <si>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</si>
  <si>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</si>
  <si>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</si>
  <si>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</si>
  <si>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</si>
  <si>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</si>
  <si>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</si>
  <si>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</si>
  <si>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</si>
  <si>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</si>
  <si>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</si>
  <si>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</si>
  <si>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</si>
  <si>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</si>
  <si>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</si>
  <si>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</si>
  <si>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</si>
  <si>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</si>
  <si>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</si>
  <si>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</si>
  <si>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</si>
  <si>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</si>
  <si>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</si>
  <si>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</si>
  <si>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</si>
  <si>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</si>
  <si>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</si>
  <si>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</si>
  <si>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</si>
  <si>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</si>
  <si>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</si>
  <si>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</si>
  <si>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</si>
  <si>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</si>
  <si>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</si>
  <si>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</si>
  <si>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</si>
  <si>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</si>
  <si>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</si>
  <si>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</si>
  <si>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</si>
  <si>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</si>
  <si>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</si>
  <si>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</si>
  <si>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</si>
  <si>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</si>
  <si>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</si>
  <si>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</si>
  <si>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</si>
  <si>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</si>
  <si>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</si>
  <si>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</si>
  <si>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</si>
  <si>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</si>
  <si>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</si>
  <si>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</si>
  <si>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</si>
  <si>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</si>
  <si>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</si>
  <si>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</si>
  <si>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</si>
  <si>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</si>
  <si>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</si>
  <si>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</si>
  <si>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</si>
  <si>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</si>
  <si>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</si>
  <si>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</si>
  <si>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</si>
  <si>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</si>
  <si>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</si>
  <si>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</si>
  <si>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</si>
  <si>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</si>
  <si>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</si>
  <si>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</si>
  <si>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</si>
  <si>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</si>
  <si>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</si>
  <si>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</si>
  <si>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</si>
  <si>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</si>
  <si>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</si>
  <si>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</si>
  <si>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</si>
  <si>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</si>
  <si>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</si>
  <si>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</si>
  <si>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</si>
  <si>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</si>
  <si>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</si>
  <si>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</si>
  <si>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</si>
  <si>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</si>
  <si>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</si>
  <si>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</si>
  <si>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</si>
  <si>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</si>
  <si>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</si>
  <si>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</si>
  <si>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</si>
  <si>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</si>
  <si>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</si>
  <si>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</si>
  <si>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</si>
  <si>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</si>
  <si>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</si>
  <si>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</si>
  <si>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</si>
  <si>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</si>
  <si>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</si>
  <si>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</si>
  <si>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</si>
  <si>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</si>
  <si>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</si>
  <si>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</si>
  <si>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</si>
  <si>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</si>
  <si>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</si>
  <si>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</si>
  <si>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</si>
  <si>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</si>
  <si>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</si>
  <si>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</si>
  <si>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</si>
  <si>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</si>
  <si>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</si>
  <si>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</si>
  <si>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</si>
  <si>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</si>
  <si>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</si>
  <si>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</si>
  <si>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</si>
  <si>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</si>
  <si>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</si>
  <si>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</si>
  <si>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</si>
  <si>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</si>
  <si>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</si>
  <si>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</si>
  <si>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</si>
  <si>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</si>
  <si>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</si>
  <si>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</si>
  <si>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</si>
  <si>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</si>
  <si>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</si>
  <si>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</si>
  <si>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</si>
  <si>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</si>
  <si>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</si>
  <si>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</si>
  <si>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</si>
  <si>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</si>
  <si>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</si>
  <si>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</si>
  <si>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</si>
  <si>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</si>
  <si>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</si>
  <si>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</si>
  <si>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</si>
  <si>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</si>
  <si>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</si>
  <si>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</si>
  <si>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</si>
  <si>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</si>
  <si>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</si>
  <si>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</si>
  <si>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</si>
  <si>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</si>
  <si>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</si>
  <si>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</si>
  <si>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</si>
  <si>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</si>
  <si>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</si>
  <si>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</si>
  <si>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</si>
  <si>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</si>
  <si>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</si>
  <si>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</si>
  <si>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</si>
  <si>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</si>
  <si>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</si>
  <si>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</si>
  <si>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</si>
  <si>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</si>
  <si>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</si>
  <si>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</si>
  <si>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</si>
  <si>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</si>
  <si>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</si>
  <si>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</si>
  <si>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</si>
  <si>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</si>
  <si>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</si>
  <si>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</si>
  <si>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</si>
  <si>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</si>
  <si>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</si>
  <si>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</si>
  <si>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</si>
  <si>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</si>
  <si>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</si>
  <si>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</si>
  <si>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</si>
  <si>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</si>
  <si>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</si>
  <si>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</si>
  <si>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</si>
  <si>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</si>
  <si>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</si>
  <si>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</si>
  <si>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</si>
  <si>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</si>
  <si>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</si>
  <si>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</si>
  <si>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</si>
  <si>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</si>
  <si>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</si>
  <si>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</si>
  <si>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</si>
  <si>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</si>
  <si>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</si>
  <si>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</si>
  <si>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</si>
  <si>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</si>
  <si>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</si>
  <si>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</si>
  <si>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</si>
  <si>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</si>
  <si>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</si>
  <si>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</si>
  <si>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</si>
  <si>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</si>
  <si>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</si>
  <si>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</si>
  <si>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</si>
  <si>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</si>
  <si>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</si>
  <si>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</si>
  <si>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</si>
  <si>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</si>
  <si>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</si>
  <si>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</si>
  <si>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</si>
  <si>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</si>
  <si>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</si>
  <si>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</si>
  <si>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</si>
  <si>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</si>
  <si>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</si>
  <si>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</si>
  <si>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</si>
  <si>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</si>
  <si>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</si>
  <si>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</si>
  <si>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</si>
  <si>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</si>
  <si>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</si>
  <si>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</si>
  <si>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</si>
  <si>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</si>
  <si>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</si>
  <si>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</si>
  <si>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</si>
  <si>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</si>
  <si>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</si>
  <si>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</si>
  <si>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</si>
  <si>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</si>
  <si>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</si>
  <si>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</si>
  <si>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</si>
  <si>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</si>
  <si>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</si>
  <si>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</si>
  <si>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</si>
  <si>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</si>
  <si>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</si>
  <si>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</si>
  <si>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</si>
  <si>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</si>
  <si>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</si>
  <si>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</si>
  <si>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</si>
  <si>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</si>
  <si>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</si>
  <si>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</si>
  <si>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</si>
  <si>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</si>
  <si>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</si>
  <si>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</si>
  <si>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</si>
  <si>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</si>
  <si>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</si>
  <si>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</si>
  <si>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</si>
  <si>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</si>
  <si>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</si>
  <si>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</si>
  <si>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</si>
  <si>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</si>
  <si>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</si>
  <si>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</si>
  <si>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</si>
  <si>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</si>
  <si>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</si>
  <si>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</si>
  <si>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</si>
  <si>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</si>
  <si>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</si>
  <si>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</si>
  <si>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</si>
  <si>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</si>
  <si>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</si>
  <si>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</si>
  <si>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</si>
  <si>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</si>
  <si>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</si>
  <si>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</si>
  <si>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</si>
  <si>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</si>
  <si>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</si>
  <si>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</si>
  <si>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</si>
  <si>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</si>
  <si>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</si>
  <si>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</si>
  <si>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</si>
  <si>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</si>
  <si>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</si>
  <si>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</si>
  <si>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</si>
  <si>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</si>
  <si>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</si>
  <si>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</si>
  <si>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</si>
  <si>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</si>
  <si>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</si>
  <si>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</si>
  <si>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</si>
  <si>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</si>
  <si>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</si>
  <si>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</si>
  <si>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</si>
  <si>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</si>
  <si>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</si>
  <si>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</si>
  <si>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</si>
  <si>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</si>
  <si>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</si>
  <si>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</si>
  <si>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</si>
  <si>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</si>
  <si>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</si>
  <si>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</si>
  <si>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</si>
  <si>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</si>
  <si>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</si>
  <si>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</si>
  <si>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</si>
  <si>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</si>
  <si>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</si>
  <si>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</si>
  <si>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</si>
  <si>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</si>
  <si>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</si>
  <si>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</si>
  <si>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</si>
  <si>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</si>
  <si>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</si>
  <si>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</si>
  <si>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</si>
  <si>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</si>
  <si>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</si>
  <si>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</si>
  <si>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</si>
  <si>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</si>
  <si>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</si>
  <si>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</si>
  <si>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</si>
  <si>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</si>
  <si>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</si>
  <si>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</si>
  <si>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</si>
  <si>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</si>
  <si>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</si>
  <si>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</si>
  <si>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</si>
  <si>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</si>
  <si>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</si>
  <si>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</si>
  <si>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</si>
  <si>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</si>
  <si>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</si>
  <si>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</si>
  <si>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</si>
  <si>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</si>
  <si>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</si>
  <si>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</si>
  <si>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</si>
  <si>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</si>
  <si>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</si>
  <si>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</si>
  <si>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</si>
  <si>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</si>
  <si>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</si>
  <si>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</si>
  <si>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</si>
  <si>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</si>
  <si>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</si>
  <si>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</si>
  <si>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</si>
  <si>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</si>
  <si>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</si>
  <si>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</si>
  <si>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</si>
  <si>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</si>
  <si>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</si>
  <si>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</si>
  <si>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</si>
  <si>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</si>
  <si>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</si>
  <si>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</si>
  <si>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</si>
  <si>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</si>
  <si>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</si>
  <si>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</si>
  <si>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</si>
  <si>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</si>
  <si>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</si>
  <si>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</si>
  <si>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</si>
  <si>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</si>
  <si>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</si>
  <si>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</si>
  <si>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</si>
  <si>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</si>
  <si>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</si>
  <si>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</si>
  <si>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</si>
  <si>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</si>
  <si>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</si>
  <si>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</si>
  <si>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</si>
  <si>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</si>
  <si>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</si>
  <si>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</si>
  <si>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</si>
  <si>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</si>
  <si>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</si>
  <si>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</si>
  <si>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</si>
  <si>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</si>
  <si>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</si>
  <si>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</si>
  <si>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</si>
  <si>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</si>
  <si>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</si>
  <si>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</si>
  <si>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</si>
  <si>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</si>
  <si>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</si>
  <si>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</si>
  <si>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</si>
  <si>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</si>
  <si>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</si>
  <si>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</si>
  <si>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</si>
  <si>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</si>
  <si>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</si>
  <si>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</si>
  <si>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</si>
  <si>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</si>
  <si>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</si>
  <si>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</si>
  <si>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</si>
  <si>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</si>
  <si>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</si>
  <si>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</si>
  <si>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</si>
  <si>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</si>
  <si>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</si>
  <si>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</si>
  <si>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</si>
  <si>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</si>
  <si>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</si>
  <si>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</si>
  <si>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</si>
  <si>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</si>
  <si>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</si>
  <si>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</si>
  <si>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</si>
  <si>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</si>
  <si>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</si>
  <si>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</si>
  <si>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</si>
  <si>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</si>
  <si>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</si>
  <si>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</si>
  <si>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</si>
  <si>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</si>
  <si>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</si>
  <si>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</si>
  <si>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</si>
  <si>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</si>
  <si>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</si>
  <si>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</si>
  <si>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</si>
  <si>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</si>
  <si>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</si>
  <si>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</si>
  <si>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</si>
  <si>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</si>
  <si>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</si>
  <si>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</si>
  <si>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</si>
  <si>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</si>
  <si>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</si>
  <si>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</si>
  <si>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</si>
  <si>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</si>
  <si>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</si>
  <si>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</si>
  <si>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</si>
  <si>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</si>
  <si>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</si>
  <si>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</si>
  <si>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</si>
  <si>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</si>
  <si>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</si>
  <si>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</si>
  <si>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</si>
  <si>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</si>
  <si>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</si>
  <si>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</si>
  <si>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</si>
  <si>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</si>
  <si>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</si>
  <si>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</si>
  <si>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</si>
  <si>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</si>
  <si>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</si>
  <si>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</si>
  <si>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</si>
  <si>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</si>
  <si>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</si>
  <si>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</si>
  <si>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</si>
  <si>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</si>
  <si>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</si>
  <si>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</si>
  <si>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</si>
  <si>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</si>
  <si>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</si>
  <si>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</si>
  <si>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</si>
  <si>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</si>
  <si>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</si>
  <si>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</si>
  <si>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</si>
  <si>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</si>
  <si>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</si>
  <si>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</si>
  <si>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</si>
  <si>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</si>
  <si>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</si>
  <si>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</si>
  <si>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</si>
  <si>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</si>
  <si>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</si>
  <si>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</si>
  <si>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</si>
  <si>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</si>
  <si>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</si>
  <si>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</si>
  <si>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</si>
  <si>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</si>
  <si>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</si>
  <si>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</si>
  <si>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</si>
  <si>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</si>
  <si>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</si>
  <si>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</si>
  <si>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</si>
  <si>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</si>
  <si>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</si>
  <si>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</si>
  <si>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</si>
  <si>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</si>
  <si>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</si>
  <si>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</si>
  <si>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</si>
  <si>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</si>
  <si>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</si>
  <si>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</si>
  <si>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</si>
  <si>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</si>
  <si>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</si>
  <si>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</si>
  <si>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</si>
  <si>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</si>
  <si>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</si>
  <si>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</si>
  <si>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</si>
  <si>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</si>
  <si>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</si>
  <si>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</si>
  <si>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</si>
  <si>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</si>
  <si>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</si>
  <si>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</si>
  <si>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</si>
  <si>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</si>
  <si>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</si>
  <si>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</si>
  <si>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</si>
  <si>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</si>
  <si>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</si>
  <si>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</si>
  <si>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</si>
  <si>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</si>
  <si>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</si>
  <si>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</si>
  <si>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</si>
  <si>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</si>
  <si>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</si>
  <si>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</si>
  <si>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</si>
  <si>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</si>
  <si>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</si>
  <si>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</si>
  <si>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</si>
  <si>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</si>
  <si>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</si>
  <si>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</si>
  <si>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</si>
  <si>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</si>
  <si>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</si>
  <si>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</si>
  <si>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</si>
  <si>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</si>
  <si>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</si>
  <si>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</si>
  <si>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</si>
  <si>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</si>
  <si>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</si>
  <si>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</si>
  <si>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</si>
  <si>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</si>
  <si>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</si>
  <si>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</si>
  <si>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</si>
  <si>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</si>
  <si>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</si>
  <si>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</si>
  <si>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</si>
  <si>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</si>
  <si>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</si>
  <si>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</si>
  <si>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</si>
  <si>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</si>
  <si>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</si>
  <si>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</si>
  <si>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</si>
  <si>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</si>
  <si>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</si>
  <si>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</si>
  <si>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</si>
  <si>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</si>
  <si>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</si>
  <si>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</si>
  <si>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</si>
  <si>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</si>
  <si>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</si>
  <si>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</si>
  <si>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</si>
  <si>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</si>
  <si>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</si>
  <si>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</si>
  <si>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</si>
  <si>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</si>
  <si>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</si>
  <si>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</si>
  <si>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</si>
  <si>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</si>
  <si>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</si>
  <si>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</si>
  <si>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</si>
  <si>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</si>
  <si>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</si>
  <si>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</si>
  <si>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</si>
  <si>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</si>
  <si>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</si>
  <si>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</si>
  <si>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</si>
  <si>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</si>
  <si>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</si>
  <si>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</si>
  <si>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</si>
  <si>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</si>
  <si>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</si>
  <si>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</si>
  <si>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</si>
  <si>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</si>
  <si>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</si>
  <si>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</si>
  <si>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</si>
  <si>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</si>
  <si>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</si>
  <si>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</si>
  <si>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</si>
  <si>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</si>
  <si>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</si>
  <si>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</si>
  <si>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</si>
  <si>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</si>
  <si>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</si>
  <si>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</si>
  <si>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</si>
  <si>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</si>
  <si>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</si>
  <si>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</si>
  <si>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</si>
  <si>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</si>
  <si>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</si>
  <si>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</si>
  <si>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</si>
  <si>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</si>
  <si>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</si>
  <si>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</si>
  <si>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</si>
  <si>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</si>
  <si>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</si>
  <si>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</si>
  <si>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</si>
  <si>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</si>
  <si>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</si>
  <si>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</si>
  <si>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</si>
  <si>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</si>
  <si>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</si>
  <si>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</si>
  <si>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</si>
  <si>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</si>
  <si>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</si>
  <si>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</si>
  <si>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</si>
  <si>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</si>
  <si>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</si>
  <si>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</si>
  <si>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</si>
  <si>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</si>
  <si>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</si>
  <si>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</si>
  <si>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</si>
  <si>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</si>
  <si>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</si>
  <si>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</si>
  <si>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</si>
  <si>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</si>
  <si>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</si>
  <si>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</si>
  <si>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</si>
  <si>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</si>
  <si>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</si>
  <si>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</si>
  <si>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</si>
  <si>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</si>
  <si>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</si>
  <si>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</si>
  <si>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</si>
  <si>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</si>
  <si>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</si>
  <si>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</si>
  <si>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</si>
  <si>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</si>
  <si>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</si>
  <si>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</si>
  <si>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</si>
  <si>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</si>
  <si>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</si>
  <si>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</si>
  <si>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</si>
  <si>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</si>
  <si>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</si>
  <si>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</si>
  <si>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</si>
  <si>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</si>
  <si>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</si>
  <si>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</si>
  <si>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</si>
  <si>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</si>
  <si>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</si>
  <si>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</si>
  <si>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</si>
  <si>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</si>
  <si>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</si>
  <si>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</si>
  <si>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</si>
  <si>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</si>
  <si>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</si>
  <si>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</si>
  <si>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</si>
  <si>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</si>
  <si>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</si>
  <si>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</si>
  <si>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</si>
  <si>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</si>
  <si>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</si>
  <si>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</si>
  <si>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</si>
  <si>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</si>
  <si>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</si>
  <si>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</si>
  <si>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</si>
  <si>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</si>
  <si>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</si>
  <si>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</si>
  <si>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</si>
  <si>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</si>
  <si>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</si>
  <si>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</si>
  <si>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</si>
  <si>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</si>
  <si>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</si>
  <si>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</si>
  <si>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</si>
  <si>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</si>
  <si>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</si>
  <si>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</si>
  <si>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</si>
  <si>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</si>
  <si>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</si>
  <si>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</si>
  <si>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</si>
  <si>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</si>
  <si>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</si>
  <si>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</si>
  <si>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</si>
  <si>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</si>
  <si>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</si>
  <si>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</si>
  <si>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</si>
  <si>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</si>
  <si>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</si>
  <si>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</si>
  <si>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</si>
  <si>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</si>
  <si>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</si>
  <si>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</si>
  <si>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</si>
  <si>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</si>
  <si>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</si>
  <si>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</si>
  <si>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</si>
  <si>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</si>
  <si>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</si>
  <si>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</si>
  <si>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</si>
  <si>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</si>
  <si>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</si>
  <si>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</si>
  <si>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</si>
  <si>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</si>
  <si>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</si>
  <si>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</si>
  <si>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</si>
  <si>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</si>
  <si>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</si>
  <si>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</si>
  <si>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</si>
  <si>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</si>
  <si>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</si>
  <si>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</si>
  <si>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</si>
  <si>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</si>
  <si>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</si>
  <si>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</si>
  <si>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</si>
  <si>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</si>
  <si>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</si>
  <si>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</si>
  <si>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</si>
  <si>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</si>
  <si>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</si>
  <si>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</si>
  <si>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</si>
  <si>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</si>
  <si>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</si>
  <si>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</si>
  <si>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</si>
  <si>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</si>
  <si>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</si>
  <si>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</si>
  <si>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</si>
  <si>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</si>
  <si>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</si>
  <si>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</si>
  <si>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</si>
  <si>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</si>
  <si>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</si>
  <si>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</si>
  <si>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</si>
  <si>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</si>
  <si>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</si>
  <si>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</si>
  <si>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</si>
  <si>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</si>
  <si>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</si>
  <si>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</si>
  <si>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</si>
  <si>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</si>
  <si>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</si>
  <si>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</si>
  <si>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</si>
  <si>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</si>
  <si>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</si>
  <si>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</si>
  <si>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</si>
  <si>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</si>
  <si>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</si>
  <si>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</si>
  <si>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</si>
  <si>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</si>
  <si>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</si>
  <si>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</si>
  <si>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</si>
  <si>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</si>
  <si>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</si>
  <si>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</si>
  <si>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</si>
  <si>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</si>
  <si>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</si>
  <si>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</si>
  <si>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</si>
  <si>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</si>
  <si>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</si>
  <si>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</si>
  <si>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</si>
  <si>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</si>
  <si>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</si>
  <si>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</si>
  <si>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</si>
  <si>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</si>
  <si>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</si>
  <si>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</si>
  <si>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</si>
  <si>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</si>
  <si>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</si>
  <si>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</si>
  <si>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</si>
  <si>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</si>
  <si>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</si>
  <si>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</si>
  <si>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</si>
  <si>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</si>
  <si>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</si>
  <si>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</si>
  <si>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</si>
  <si>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</si>
  <si>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</si>
  <si>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</si>
  <si>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</si>
  <si>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</si>
  <si>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</si>
  <si>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</si>
  <si>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</si>
  <si>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</si>
  <si>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</si>
  <si>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</si>
  <si>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</si>
  <si>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</si>
  <si>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</si>
  <si>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</si>
  <si>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</si>
  <si>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</si>
  <si>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</si>
  <si>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</si>
  <si>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</si>
  <si>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</si>
  <si>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</si>
  <si>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</si>
  <si>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</si>
  <si>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</si>
  <si>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</si>
  <si>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</si>
  <si>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</si>
  <si>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</si>
  <si>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</si>
  <si>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</si>
  <si>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</si>
  <si>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</si>
  <si>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</si>
  <si>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</si>
  <si>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</si>
  <si>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</si>
  <si>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</si>
  <si>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</si>
  <si>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</si>
  <si>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</si>
  <si>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</si>
  <si>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</si>
  <si>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</si>
  <si>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</si>
  <si>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</si>
  <si>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</si>
  <si>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</si>
  <si>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</si>
  <si>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</si>
  <si>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</si>
  <si>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</si>
  <si>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</si>
  <si>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</si>
  <si>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</si>
  <si>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</si>
  <si>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</si>
  <si>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</si>
  <si>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</si>
  <si>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</si>
  <si>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</si>
  <si>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</si>
  <si>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</si>
  <si>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</si>
  <si>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</si>
  <si>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</si>
  <si>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</si>
  <si>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</si>
  <si>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</si>
  <si>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</si>
  <si>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</si>
  <si>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</si>
  <si>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</si>
  <si>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</si>
  <si>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</si>
  <si>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</si>
  <si>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</si>
  <si>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</si>
  <si>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</si>
  <si>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</si>
  <si>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</si>
  <si>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</si>
  <si>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</si>
  <si>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</si>
  <si>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</si>
  <si>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</si>
  <si>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</si>
  <si>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</si>
  <si>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</si>
  <si>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</si>
  <si>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</si>
  <si>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</si>
  <si>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</si>
  <si>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</si>
  <si>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</si>
  <si>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</si>
  <si>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</si>
  <si>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</si>
  <si>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</si>
  <si>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</si>
  <si>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</si>
  <si>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</si>
  <si>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</si>
  <si>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</si>
  <si>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</si>
  <si>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</si>
  <si>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</si>
  <si>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</si>
  <si>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</si>
  <si>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</si>
  <si>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</si>
  <si>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</si>
  <si>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</si>
  <si>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</si>
  <si>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</si>
  <si>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</si>
  <si>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</si>
  <si>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</si>
  <si>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</si>
  <si>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</si>
  <si>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</si>
  <si>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</si>
  <si>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</si>
  <si>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</si>
  <si>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</si>
  <si>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</si>
  <si>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</si>
  <si>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</si>
  <si>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</si>
  <si>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</si>
  <si>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</si>
  <si>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</si>
  <si>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</si>
  <si>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</si>
  <si>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</si>
  <si>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</si>
  <si>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</si>
  <si>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</si>
  <si>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</si>
  <si>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</si>
  <si>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</si>
  <si>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</si>
  <si>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</si>
  <si>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</si>
  <si>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</si>
  <si>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</si>
  <si>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</si>
  <si>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</si>
  <si>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</si>
  <si>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</si>
  <si>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</si>
  <si>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</si>
  <si>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</si>
  <si>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</si>
  <si>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</si>
  <si>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</si>
  <si>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</si>
  <si>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</si>
  <si>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</si>
  <si>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</si>
  <si>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</si>
  <si>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</si>
  <si>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</si>
  <si>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</si>
  <si>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</si>
  <si>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</si>
  <si>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</si>
  <si>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</si>
  <si>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</si>
  <si>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</si>
  <si>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</si>
  <si>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</si>
  <si>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</si>
  <si>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</si>
  <si>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</si>
  <si>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</si>
  <si>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</si>
  <si>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</si>
  <si>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</si>
  <si>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</si>
  <si>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</si>
  <si>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</si>
  <si>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</si>
  <si>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</si>
  <si>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</si>
  <si>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</si>
  <si>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</si>
  <si>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</si>
  <si>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</si>
  <si>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</si>
  <si>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</si>
  <si>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</si>
  <si>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</si>
  <si>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</si>
  <si>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</si>
  <si>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</si>
  <si>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</si>
  <si>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</si>
  <si>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</si>
  <si>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</si>
  <si>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</si>
  <si>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</si>
  <si>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</si>
  <si>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</si>
  <si>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</si>
  <si>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</si>
  <si>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</si>
  <si>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</si>
  <si>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</si>
  <si>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</si>
  <si>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</si>
  <si>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</si>
  <si>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</si>
  <si>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</si>
  <si>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</si>
  <si>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</si>
  <si>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</si>
  <si>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</si>
  <si>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</si>
  <si>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</si>
  <si>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</si>
  <si>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</si>
  <si>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</si>
  <si>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</si>
  <si>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</si>
  <si>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</si>
  <si>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</si>
  <si>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</si>
  <si>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</si>
  <si>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</si>
  <si>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</si>
  <si>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</si>
  <si>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</si>
  <si>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</si>
  <si>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</si>
  <si>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</si>
  <si>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</si>
  <si>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</si>
  <si>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</si>
  <si>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</si>
  <si>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</si>
  <si>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</si>
  <si>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</si>
  <si>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</si>
  <si>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</si>
  <si>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</si>
  <si>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</si>
  <si>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</si>
  <si>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</si>
  <si>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</si>
  <si>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</si>
  <si>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</si>
  <si>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</si>
  <si>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</si>
  <si>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</si>
  <si>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</si>
  <si>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</si>
  <si>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</si>
  <si>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</si>
  <si>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</si>
  <si>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</si>
  <si>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</si>
  <si>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</si>
  <si>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</si>
  <si>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</si>
  <si>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</si>
  <si>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</si>
  <si>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</si>
  <si>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</si>
  <si>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</si>
  <si>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</si>
  <si>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</si>
  <si>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</si>
  <si>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</si>
  <si>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</si>
  <si>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</si>
  <si>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</si>
  <si>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</si>
  <si>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</si>
  <si>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</si>
  <si>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</si>
  <si>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</si>
  <si>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</si>
  <si>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</si>
  <si>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</si>
  <si>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</si>
  <si>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</si>
  <si>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</si>
  <si>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</si>
  <si>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</si>
  <si>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</si>
  <si>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</si>
  <si>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</si>
  <si>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</si>
  <si>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</si>
  <si>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</si>
  <si>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</si>
  <si>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</si>
  <si>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</si>
  <si>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</si>
  <si>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</si>
  <si>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</si>
  <si>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</si>
  <si>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</si>
  <si>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</si>
  <si>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</si>
  <si>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</si>
  <si>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</si>
  <si>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</si>
  <si>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</si>
  <si>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</si>
  <si>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</si>
  <si>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</si>
  <si>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</si>
  <si>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</si>
  <si>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</si>
  <si>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</si>
  <si>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</si>
  <si>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</si>
  <si>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</si>
  <si>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</si>
  <si>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</si>
  <si>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</si>
  <si>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</si>
  <si>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</si>
  <si>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</si>
  <si>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</si>
  <si>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</si>
  <si>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</si>
  <si>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</si>
  <si>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</si>
  <si>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</si>
  <si>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</si>
  <si>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</si>
  <si>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</si>
  <si>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</si>
  <si>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</si>
  <si>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</si>
  <si>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</si>
  <si>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</si>
  <si>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</si>
  <si>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</si>
  <si>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</si>
  <si>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</si>
  <si>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</si>
  <si>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</si>
  <si>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</si>
  <si>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</si>
  <si>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</si>
  <si>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</si>
  <si>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</si>
  <si>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</si>
  <si>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</si>
  <si>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</si>
  <si>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</si>
  <si>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</si>
  <si>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</si>
  <si>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</si>
  <si>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</si>
  <si>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</si>
  <si>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</si>
  <si>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</si>
  <si>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</si>
  <si>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</si>
  <si>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</si>
  <si>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</si>
  <si>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</si>
  <si>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</si>
  <si>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</si>
  <si>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</si>
  <si>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</si>
  <si>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</si>
  <si>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</si>
  <si>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</si>
  <si>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</si>
  <si>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</si>
  <si>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</si>
  <si>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</si>
  <si>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</si>
  <si>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</si>
  <si>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</si>
  <si>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</si>
  <si>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</si>
  <si>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</si>
  <si>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</si>
  <si>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</si>
  <si>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</si>
  <si>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</si>
  <si>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</si>
  <si>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</si>
  <si>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</si>
  <si>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</si>
  <si>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</si>
  <si>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</si>
  <si>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</si>
  <si>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</si>
  <si>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</si>
  <si>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</si>
  <si>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</si>
  <si>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</si>
  <si>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</si>
  <si>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</si>
  <si>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</si>
  <si>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</si>
  <si>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</si>
  <si>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</si>
  <si>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</si>
  <si>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</si>
  <si>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</si>
  <si>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</si>
  <si>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</si>
  <si>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</si>
  <si>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</si>
  <si>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</si>
  <si>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</si>
  <si>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</si>
  <si>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</si>
  <si>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</si>
  <si>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</si>
  <si>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</si>
  <si>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</si>
  <si>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</si>
  <si>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</si>
  <si>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</si>
  <si>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</si>
  <si>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</si>
  <si>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</si>
  <si>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</si>
  <si>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</si>
  <si>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</si>
  <si>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</si>
  <si>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</si>
  <si>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</si>
  <si>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</si>
  <si>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</si>
  <si>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</si>
  <si>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</si>
  <si>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</si>
  <si>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</si>
  <si>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</si>
  <si>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</si>
  <si>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</si>
  <si>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</si>
  <si>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</si>
  <si>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</si>
  <si>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</si>
  <si>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</si>
  <si>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</si>
  <si>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</si>
  <si>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</si>
  <si>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</si>
  <si>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</si>
  <si>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</si>
  <si>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</si>
  <si>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</si>
  <si>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</si>
  <si>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</si>
  <si>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</si>
  <si>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</si>
  <si>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</si>
  <si>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</si>
  <si>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</si>
  <si>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</si>
  <si>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</si>
  <si>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</si>
  <si>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</si>
  <si>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</si>
  <si>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</si>
  <si>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</si>
  <si>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</si>
  <si>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</si>
  <si>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</si>
  <si>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</si>
  <si>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</si>
  <si>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</si>
  <si>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</si>
  <si>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</si>
  <si>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</si>
  <si>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</si>
  <si>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</si>
  <si>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</si>
  <si>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</si>
  <si>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</si>
  <si>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</si>
  <si>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</si>
  <si>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</si>
  <si>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</si>
  <si>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</si>
  <si>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</si>
  <si>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</si>
  <si>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</si>
  <si>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</si>
  <si>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</si>
  <si>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</si>
  <si>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</si>
  <si>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</si>
  <si>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</si>
  <si>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</si>
  <si>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</si>
  <si>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</si>
  <si>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</si>
  <si>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</si>
  <si>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</si>
  <si>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</si>
  <si>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</si>
  <si>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</si>
  <si>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</si>
  <si>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</si>
  <si>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</si>
  <si>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</si>
  <si>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</si>
  <si>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</si>
  <si>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</si>
  <si>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</si>
  <si>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</si>
  <si>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</si>
  <si>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</si>
  <si>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</si>
  <si>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</si>
  <si>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</si>
  <si>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</si>
  <si>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</si>
  <si>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</si>
  <si>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</si>
  <si>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</si>
  <si>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</si>
  <si>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</si>
  <si>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</si>
  <si>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</si>
  <si>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</si>
  <si>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</si>
  <si>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</si>
  <si>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</si>
  <si>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</si>
  <si>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</si>
  <si>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</si>
  <si>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</si>
  <si>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</si>
  <si>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</si>
  <si>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</si>
  <si>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</si>
  <si>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</si>
  <si>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</si>
  <si>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</si>
  <si>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</si>
  <si>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</si>
  <si>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</si>
  <si>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</si>
  <si>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</si>
  <si>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</si>
  <si>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</si>
  <si>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</si>
  <si>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</si>
  <si>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</si>
  <si>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</si>
  <si>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</si>
  <si>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</si>
  <si>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</si>
  <si>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</si>
  <si>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</si>
  <si>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</si>
  <si>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</si>
  <si>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</si>
  <si>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</si>
  <si>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</si>
  <si>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</si>
  <si>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</si>
  <si>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</si>
  <si>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</si>
  <si>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</si>
  <si>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</si>
  <si>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</si>
  <si>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</si>
  <si>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</si>
  <si>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</si>
  <si>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</si>
  <si>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</si>
  <si>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</si>
  <si>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</si>
  <si>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</si>
  <si>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</si>
  <si>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</si>
  <si>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</si>
  <si>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</si>
  <si>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</si>
  <si>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</si>
  <si>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</si>
  <si>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</si>
  <si>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</si>
  <si>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</si>
  <si>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</si>
  <si>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</si>
  <si>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</si>
  <si>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</si>
  <si>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</si>
  <si>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</si>
  <si>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</si>
  <si>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</si>
  <si>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</si>
  <si>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</si>
  <si>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</si>
  <si>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</si>
  <si>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</si>
  <si>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</si>
  <si>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</si>
  <si>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</si>
  <si>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</si>
  <si>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</si>
  <si>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</si>
  <si>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</si>
  <si>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</si>
  <si>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</si>
  <si>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</si>
  <si>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</si>
  <si>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</si>
  <si>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</si>
  <si>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</si>
  <si>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</si>
  <si>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</si>
  <si>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</si>
  <si>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</si>
  <si>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</si>
  <si>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</si>
  <si>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</si>
  <si>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</si>
  <si>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</si>
  <si>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</si>
  <si>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</si>
  <si>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</si>
  <si>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</si>
  <si>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</si>
  <si>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</si>
  <si>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</si>
  <si>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</si>
  <si>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</si>
  <si>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</si>
  <si>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</si>
  <si>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</si>
  <si>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</si>
  <si>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</si>
  <si>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</si>
  <si>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</si>
  <si>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</si>
  <si>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</si>
  <si>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</si>
  <si>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</si>
  <si>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</si>
  <si>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</si>
  <si>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</si>
  <si>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</si>
  <si>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</si>
  <si>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</si>
  <si>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</si>
  <si>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</si>
  <si>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</si>
  <si>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</si>
  <si>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</si>
  <si>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</si>
  <si>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</si>
  <si>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</si>
  <si>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</si>
  <si>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</si>
  <si>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</si>
  <si>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</si>
  <si>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</si>
  <si>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</si>
  <si>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</si>
  <si>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</si>
  <si>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</si>
  <si>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</si>
  <si>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</si>
  <si>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</si>
  <si>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</si>
  <si>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</si>
  <si>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</si>
  <si>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</si>
  <si>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</si>
  <si>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</si>
  <si>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</si>
  <si>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</si>
  <si>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</si>
  <si>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</si>
  <si>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</si>
  <si>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</si>
  <si>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</si>
  <si>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</si>
  <si>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</si>
  <si>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</si>
  <si>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</si>
  <si>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</si>
  <si>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</si>
  <si>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</si>
  <si>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</si>
  <si>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</si>
  <si>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</si>
  <si>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</si>
  <si>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</si>
  <si>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</si>
  <si>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</si>
  <si>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</si>
  <si>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</si>
  <si>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</si>
  <si>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</si>
  <si>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</si>
  <si>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</si>
  <si>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</si>
  <si>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</si>
  <si>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</si>
  <si>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</si>
  <si>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</si>
  <si>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</si>
  <si>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</si>
  <si>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</si>
  <si>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</si>
  <si>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</si>
  <si>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</si>
  <si>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</si>
  <si>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</si>
  <si>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</si>
  <si>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</si>
  <si>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</si>
  <si>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</si>
  <si>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</si>
  <si>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</si>
  <si>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</si>
  <si>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</si>
  <si>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</si>
  <si>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</si>
  <si>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</si>
  <si>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</si>
  <si>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</si>
  <si>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</si>
  <si>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</si>
  <si>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</si>
  <si>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</si>
  <si>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</si>
  <si>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</si>
  <si>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</si>
  <si>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</si>
  <si>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</si>
  <si>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</si>
  <si>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</si>
  <si>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</si>
  <si>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</si>
  <si>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</si>
  <si>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</si>
  <si>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</si>
  <si>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</si>
  <si>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</si>
  <si>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</si>
  <si>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</si>
  <si>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</si>
  <si>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</si>
  <si>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</si>
  <si>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</si>
  <si>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</si>
  <si>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</si>
  <si>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</si>
  <si>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</si>
  <si>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</si>
  <si>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</si>
  <si>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</si>
  <si>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</si>
  <si>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</si>
  <si>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</si>
  <si>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</si>
  <si>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</si>
  <si>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</si>
  <si>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</si>
  <si>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</si>
  <si>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</si>
  <si>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</si>
  <si>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</si>
  <si>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</si>
  <si>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</si>
  <si>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</si>
  <si>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</si>
  <si>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</si>
  <si>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</si>
  <si>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</si>
  <si>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</si>
  <si>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</si>
  <si>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</si>
  <si>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</si>
  <si>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</si>
  <si>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</si>
  <si>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</si>
  <si>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</si>
  <si>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</si>
  <si>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</si>
  <si>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</si>
  <si>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</si>
  <si>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</si>
  <si>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</si>
  <si>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</si>
  <si>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</si>
  <si>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</si>
  <si>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</si>
  <si>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</si>
  <si>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</si>
  <si>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</si>
  <si>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</si>
  <si>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</si>
  <si>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</si>
  <si>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</si>
  <si>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</si>
  <si>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</si>
  <si>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</si>
  <si>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</si>
  <si>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</si>
  <si>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</si>
  <si>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</si>
  <si>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</si>
  <si>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</si>
  <si>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</si>
  <si>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</si>
  <si>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</si>
  <si>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</si>
  <si>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</si>
  <si>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</si>
  <si>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</si>
  <si>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</si>
  <si>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</si>
  <si>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</si>
  <si>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</si>
  <si>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</si>
  <si>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</si>
  <si>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</si>
  <si>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</si>
  <si>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</si>
  <si>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</si>
  <si>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</si>
  <si>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</si>
  <si>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</si>
  <si>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</si>
  <si>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</si>
  <si>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</si>
  <si>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</si>
  <si>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</si>
  <si>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</si>
  <si>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</si>
  <si>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</si>
  <si>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</si>
  <si>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</si>
  <si>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</si>
  <si>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</si>
  <si>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</si>
  <si>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</si>
  <si>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</si>
  <si>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</si>
  <si>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</si>
  <si>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</si>
  <si>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</si>
  <si>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</si>
  <si>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</si>
  <si>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</si>
  <si>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</si>
  <si>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</si>
  <si>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</si>
  <si>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</si>
  <si>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</si>
  <si>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</si>
  <si>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</si>
  <si>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</si>
  <si>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</si>
  <si>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</si>
  <si>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</si>
  <si>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</si>
  <si>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</si>
  <si>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</si>
  <si>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</si>
  <si>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</si>
  <si>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</si>
  <si>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</si>
  <si>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</si>
  <si>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</si>
  <si>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</si>
  <si>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</si>
  <si>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</si>
  <si>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</si>
  <si>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</si>
  <si>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</si>
  <si>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</si>
  <si>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</si>
  <si>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</si>
  <si>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</si>
  <si>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</si>
  <si>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</si>
  <si>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</si>
  <si>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</si>
  <si>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</si>
  <si>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</si>
  <si>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</si>
  <si>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</si>
  <si>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</si>
  <si>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</si>
  <si>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</si>
  <si>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</si>
  <si>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</si>
  <si>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</si>
  <si>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</si>
  <si>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</si>
  <si>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</si>
  <si>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</si>
  <si>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</si>
  <si>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</si>
  <si>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</si>
  <si>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</si>
  <si>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</si>
  <si>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</si>
  <si>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</si>
  <si>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</si>
  <si>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</si>
  <si>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</si>
  <si>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</si>
  <si>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</si>
  <si>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</si>
  <si>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</si>
  <si>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</si>
  <si>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</si>
  <si>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</si>
  <si>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</si>
  <si>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</si>
  <si>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</si>
  <si>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</si>
  <si>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</si>
  <si>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</si>
  <si>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</si>
  <si>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</si>
  <si>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</si>
  <si>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</si>
  <si>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</si>
  <si>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</si>
  <si>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</si>
  <si>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</si>
  <si>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</si>
  <si>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</si>
  <si>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</si>
  <si>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</si>
  <si>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</si>
  <si>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</si>
  <si>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</si>
  <si>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</si>
  <si>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</si>
  <si>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</si>
  <si>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</si>
  <si>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</si>
  <si>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</si>
  <si>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</si>
  <si>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</si>
  <si>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</si>
  <si>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</si>
  <si>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</si>
  <si>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</si>
  <si>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</si>
  <si>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</si>
  <si>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</si>
  <si>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</si>
  <si>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</si>
  <si>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</si>
  <si>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</si>
  <si>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</si>
  <si>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</si>
  <si>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</si>
  <si>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</si>
  <si>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</si>
  <si>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</si>
  <si>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</si>
  <si>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</si>
  <si>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</si>
  <si>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</si>
  <si>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</si>
  <si>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</si>
  <si>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</si>
  <si>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</si>
  <si>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</si>
  <si>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</si>
  <si>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</si>
  <si>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</si>
  <si>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</si>
  <si>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</si>
  <si>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</si>
  <si>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</si>
  <si>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</si>
  <si>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</si>
  <si>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</si>
  <si>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</si>
  <si>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</si>
  <si>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</si>
  <si>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</si>
  <si>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</si>
  <si>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</si>
  <si>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</si>
  <si>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</si>
  <si>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</si>
  <si>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</si>
  <si>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</si>
  <si>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</si>
  <si>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</si>
  <si>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</si>
  <si>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</si>
  <si>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</si>
  <si>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</si>
  <si>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</si>
  <si>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</si>
  <si>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</si>
  <si>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</si>
  <si>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</si>
  <si>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</si>
  <si>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</si>
  <si>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</si>
  <si>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</si>
  <si>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</si>
  <si>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</si>
  <si>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</si>
  <si>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</si>
  <si>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</si>
  <si>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</si>
  <si>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</si>
  <si>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</si>
  <si>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</si>
  <si>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</si>
  <si>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</si>
  <si>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</si>
  <si>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</si>
  <si>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</si>
  <si>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</si>
  <si>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</si>
  <si>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</si>
  <si>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</si>
  <si>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</si>
  <si>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</si>
  <si>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</si>
  <si>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</si>
  <si>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</si>
  <si>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</si>
  <si>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</si>
  <si>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</si>
  <si>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</si>
  <si>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</si>
  <si>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</si>
  <si>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</si>
  <si>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</si>
  <si>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</si>
  <si>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</si>
  <si>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</si>
  <si>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</si>
  <si>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</si>
  <si>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</si>
  <si>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</si>
  <si>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</si>
  <si>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</si>
  <si>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</si>
  <si>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</si>
  <si>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</si>
  <si>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</si>
  <si>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</si>
  <si>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</si>
  <si>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</si>
  <si>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</si>
  <si>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</si>
  <si>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</si>
  <si>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</si>
  <si>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</si>
  <si>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</si>
  <si>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</si>
  <si>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</si>
  <si>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</si>
  <si>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</si>
  <si>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</si>
  <si>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</si>
  <si>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</si>
  <si>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</si>
  <si>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</si>
  <si>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</si>
  <si>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</si>
  <si>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</si>
  <si>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</si>
  <si>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</si>
  <si>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</si>
  <si>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</si>
  <si>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</si>
  <si>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</si>
  <si>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</si>
  <si>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</si>
  <si>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</si>
  <si>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</si>
  <si>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</si>
  <si>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</si>
  <si>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</si>
  <si>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</si>
  <si>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</si>
  <si>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</si>
  <si>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</si>
  <si>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</si>
  <si>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</si>
  <si>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</si>
  <si>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</si>
  <si>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</si>
  <si>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</si>
  <si>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</si>
  <si>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</si>
  <si>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</si>
  <si>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</si>
  <si>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</si>
  <si>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</si>
  <si>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</si>
  <si>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</si>
  <si>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</si>
  <si>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</si>
  <si>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</si>
  <si>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</si>
  <si>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</si>
  <si>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</si>
  <si>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</si>
  <si>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</si>
  <si>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</si>
  <si>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</si>
  <si>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</si>
  <si>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</si>
  <si>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</si>
  <si>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</si>
  <si>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</si>
  <si>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</si>
  <si>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</si>
  <si>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</si>
  <si>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</si>
  <si>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</si>
  <si>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</si>
  <si>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</si>
  <si>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</si>
  <si>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</si>
  <si>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</si>
  <si>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</si>
  <si>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</si>
  <si>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</si>
  <si>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</si>
  <si>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</si>
  <si>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</si>
  <si>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</si>
  <si>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</si>
  <si>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</si>
  <si>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</si>
  <si>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</si>
  <si>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</si>
  <si>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</si>
  <si>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</si>
  <si>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</si>
  <si>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</si>
  <si>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</si>
  <si>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</si>
  <si>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</si>
  <si>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</si>
  <si>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</si>
  <si>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</si>
  <si>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</si>
  <si>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</si>
  <si>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</si>
  <si>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</si>
  <si>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</si>
  <si>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</si>
  <si>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</si>
  <si>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</si>
  <si>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</si>
  <si>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</si>
  <si>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</si>
  <si>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</si>
  <si>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</si>
  <si>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</si>
  <si>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</si>
  <si>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</si>
  <si>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</si>
  <si>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</si>
  <si>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</si>
  <si>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</si>
  <si>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</si>
  <si>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</si>
  <si>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</si>
  <si>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</si>
  <si>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</si>
  <si>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</si>
  <si>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</si>
  <si>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</si>
  <si>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</si>
  <si>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</si>
  <si>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</si>
  <si>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</si>
  <si>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</si>
  <si>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</si>
  <si>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</si>
  <si>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</si>
  <si>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</si>
  <si>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</si>
  <si>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</si>
  <si>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</si>
  <si>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</si>
  <si>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</si>
  <si>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</si>
  <si>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</si>
  <si>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</si>
  <si>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</si>
  <si>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</si>
  <si>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</si>
  <si>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</si>
  <si>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</si>
  <si>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</si>
  <si>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</si>
  <si>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</si>
  <si>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</si>
  <si>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</si>
  <si>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</si>
  <si>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</si>
  <si>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</si>
  <si>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</si>
  <si>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</si>
  <si>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</si>
  <si>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</si>
  <si>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</si>
  <si>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</si>
  <si>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</si>
  <si>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</si>
  <si>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</si>
  <si>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</si>
  <si>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</si>
  <si>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</si>
  <si>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</si>
  <si>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</si>
  <si>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</si>
  <si>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</si>
  <si>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</si>
  <si>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</si>
  <si>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</si>
  <si>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</si>
  <si>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</si>
  <si>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</si>
  <si>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</si>
  <si>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</si>
  <si>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</si>
  <si>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</si>
  <si>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</si>
  <si>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</si>
  <si>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</si>
  <si>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</si>
  <si>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</si>
  <si>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</si>
  <si>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</si>
  <si>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</si>
  <si>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</si>
  <si>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</si>
  <si>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</si>
  <si>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</si>
  <si>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</si>
  <si>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</si>
  <si>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</si>
  <si>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</si>
  <si>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</si>
  <si>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</si>
  <si>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</si>
  <si>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</si>
  <si>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</si>
  <si>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</si>
  <si>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</si>
  <si>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</si>
  <si>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</si>
  <si>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</si>
  <si>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</si>
  <si>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</si>
  <si>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</si>
  <si>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</si>
  <si>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</si>
  <si>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</si>
  <si>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</si>
  <si>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</si>
  <si>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</si>
  <si>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</si>
  <si>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</si>
  <si>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</si>
  <si>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</si>
  <si>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</si>
  <si>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</si>
  <si>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</si>
  <si>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</si>
  <si>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</si>
  <si>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</si>
  <si>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</si>
  <si>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</si>
  <si>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</si>
  <si>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</si>
  <si>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</si>
  <si>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</si>
  <si>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</si>
  <si>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</si>
  <si>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</si>
  <si>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</si>
  <si>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</si>
  <si>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</si>
  <si>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</si>
  <si>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</si>
  <si>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</si>
  <si>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</si>
  <si>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</si>
  <si>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</si>
  <si>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</si>
  <si>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</si>
  <si>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</si>
  <si>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</si>
  <si>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</si>
  <si>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</si>
  <si>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</si>
  <si>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</si>
  <si>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</si>
  <si>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</si>
  <si>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</si>
  <si>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</si>
  <si>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</si>
  <si>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</si>
  <si>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</si>
  <si>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</si>
  <si>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</si>
  <si>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</si>
  <si>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</si>
  <si>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</si>
  <si>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</si>
  <si>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</si>
  <si>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</si>
  <si>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</si>
  <si>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</si>
  <si>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</si>
  <si>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</si>
  <si>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</si>
  <si>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</si>
  <si>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</si>
  <si>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</si>
  <si>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</si>
  <si>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</si>
  <si>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</si>
  <si>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</si>
  <si>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</si>
  <si>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</si>
  <si>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</si>
  <si>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</si>
  <si>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</si>
  <si>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</si>
  <si>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</si>
  <si>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</si>
  <si>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</si>
  <si>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</si>
  <si>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</si>
  <si>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</si>
  <si>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</si>
  <si>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</si>
  <si>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</si>
  <si>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</si>
  <si>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</si>
  <si>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</si>
  <si>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</si>
  <si>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</si>
  <si>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</si>
  <si>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</si>
  <si>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</si>
  <si>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</si>
  <si>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</si>
  <si>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</si>
  <si>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</si>
  <si>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</si>
  <si>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</si>
  <si>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</si>
  <si>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</si>
  <si>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</si>
  <si>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</si>
  <si>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</si>
  <si>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</si>
  <si>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</si>
  <si>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</si>
  <si>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</si>
  <si>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</si>
  <si>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</si>
  <si>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</si>
  <si>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</si>
  <si>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</si>
  <si>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</si>
  <si>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</si>
  <si>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</si>
  <si>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</si>
  <si>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</si>
  <si>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</si>
  <si>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</si>
  <si>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</si>
  <si>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</si>
  <si>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</si>
  <si>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</si>
  <si>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</si>
  <si>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</si>
  <si>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</si>
  <si>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</si>
  <si>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</si>
  <si>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</si>
  <si>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</si>
  <si>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</si>
  <si>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</si>
  <si>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</si>
  <si>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</si>
  <si>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</si>
  <si>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</si>
  <si>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</si>
  <si>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</si>
  <si>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</si>
  <si>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</si>
  <si>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</si>
  <si>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</si>
  <si>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</si>
  <si>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</si>
  <si>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</si>
  <si>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</si>
  <si>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</si>
  <si>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</si>
  <si>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</si>
  <si>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</si>
  <si>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</si>
  <si>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</si>
  <si>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</si>
  <si>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</si>
  <si>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</si>
  <si>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</si>
  <si>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</si>
  <si>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</si>
  <si>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</si>
  <si>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</si>
  <si>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</si>
  <si>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</si>
  <si>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</si>
  <si>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</si>
  <si>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</si>
  <si>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</si>
  <si>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</si>
  <si>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</si>
  <si>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</si>
  <si>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</si>
  <si>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</si>
  <si>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</si>
  <si>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</si>
  <si>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</si>
  <si>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</si>
  <si>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</si>
  <si>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</si>
  <si>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</si>
  <si>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</si>
  <si>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</si>
  <si>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</si>
  <si>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</si>
  <si>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</si>
  <si>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</si>
  <si>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</si>
  <si>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</si>
  <si>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</si>
  <si>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</si>
  <si>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</si>
  <si>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</si>
  <si>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</si>
  <si>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</si>
  <si>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</si>
  <si>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</si>
  <si>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</si>
  <si>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</si>
  <si>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</si>
  <si>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</si>
  <si>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</si>
  <si>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</si>
  <si>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</si>
  <si>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</si>
  <si>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</si>
  <si>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</si>
  <si>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</si>
  <si>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</si>
  <si>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</si>
  <si>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</si>
  <si>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</si>
  <si>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</si>
  <si>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</si>
  <si>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</si>
  <si>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</si>
  <si>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</si>
  <si>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</si>
  <si>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</si>
  <si>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</si>
  <si>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</si>
  <si>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</si>
  <si>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</si>
  <si>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</si>
  <si>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</si>
  <si>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</si>
  <si>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</si>
  <si>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</si>
  <si>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</si>
  <si>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</si>
  <si>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</si>
  <si>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</si>
  <si>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</si>
  <si>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</si>
  <si>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</si>
  <si>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</si>
  <si>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</si>
  <si>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</si>
  <si>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</si>
  <si>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</si>
  <si>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</si>
  <si>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</si>
  <si>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</si>
  <si>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</si>
  <si>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</si>
  <si>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</si>
  <si>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</si>
  <si>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</si>
  <si>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</si>
  <si>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</si>
  <si>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</si>
  <si>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</si>
  <si>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</si>
  <si>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</si>
  <si>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</si>
  <si>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</si>
  <si>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</si>
  <si>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</si>
  <si>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</si>
  <si>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</si>
  <si>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</si>
  <si>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</si>
  <si>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</si>
  <si>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</si>
  <si>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</si>
  <si>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</si>
  <si>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</si>
  <si>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</si>
  <si>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</si>
  <si>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</si>
  <si>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</si>
  <si>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</si>
  <si>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</si>
  <si>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</si>
  <si>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</si>
  <si>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</si>
  <si>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</si>
  <si>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</si>
  <si>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</si>
  <si>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</si>
  <si>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</si>
  <si>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</si>
  <si>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</si>
  <si>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</si>
  <si>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</si>
  <si>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</si>
  <si>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</si>
  <si>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</si>
  <si>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</si>
  <si>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</si>
  <si>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</si>
  <si>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</si>
  <si>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</si>
  <si>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</si>
  <si>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</si>
  <si>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</si>
  <si>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</si>
  <si>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</si>
  <si>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</si>
  <si>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</si>
  <si>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</si>
  <si>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</si>
  <si>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</si>
  <si>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</si>
  <si>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</si>
  <si>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</si>
  <si>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</si>
  <si>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</si>
  <si>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</si>
  <si>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</si>
  <si>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</si>
  <si>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</si>
  <si>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</si>
  <si>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</si>
  <si>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</si>
  <si>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</si>
  <si>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</si>
  <si>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</si>
  <si>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</si>
  <si>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</si>
  <si>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</si>
  <si>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</si>
  <si>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</si>
  <si>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</si>
  <si>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</si>
  <si>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</si>
  <si>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</si>
  <si>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</si>
  <si>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</si>
  <si>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</si>
  <si>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</si>
  <si>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</si>
  <si>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</si>
  <si>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</si>
  <si>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</si>
  <si>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</si>
  <si>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</si>
  <si>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</si>
  <si>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</si>
  <si>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</si>
  <si>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</si>
  <si>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</si>
  <si>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</si>
  <si>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</si>
  <si>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</si>
  <si>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</si>
  <si>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</si>
  <si>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</si>
  <si>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</si>
  <si>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</si>
  <si>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</si>
  <si>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</si>
  <si>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</si>
  <si>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</si>
  <si>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</si>
  <si>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</si>
  <si>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</si>
  <si>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</si>
  <si>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</si>
  <si>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</si>
  <si>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</si>
  <si>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</si>
  <si>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</si>
  <si>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</si>
  <si>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</si>
  <si>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</si>
  <si>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</si>
  <si>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</si>
  <si>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</si>
  <si>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</si>
  <si>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</si>
  <si>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</si>
  <si>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</si>
  <si>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</si>
  <si>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</si>
  <si>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</si>
  <si>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</si>
  <si>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</si>
  <si>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</si>
  <si>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</si>
  <si>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</si>
  <si>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</si>
  <si>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</si>
  <si>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</si>
  <si>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</si>
  <si>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</si>
  <si>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</si>
  <si>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</si>
  <si>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</si>
  <si>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</si>
  <si>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</si>
  <si>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</si>
  <si>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</si>
  <si>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</si>
  <si>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</si>
  <si>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</si>
  <si>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</si>
  <si>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</si>
  <si>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</si>
  <si>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</si>
  <si>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</si>
  <si>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</si>
  <si>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</si>
  <si>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</si>
  <si>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</si>
  <si>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</si>
  <si>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</si>
  <si>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</si>
  <si>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</si>
  <si>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</si>
  <si>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</si>
  <si>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</si>
  <si>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</si>
  <si>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</si>
  <si>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</si>
  <si>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</si>
  <si>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</si>
  <si>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</si>
  <si>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</si>
  <si>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</si>
  <si>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</si>
  <si>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</si>
  <si>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</si>
  <si>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</si>
  <si>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</si>
  <si>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</si>
  <si>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</si>
  <si>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</si>
  <si>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</si>
  <si>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</si>
  <si>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</si>
  <si>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</si>
  <si>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</si>
  <si>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</si>
  <si>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</si>
  <si>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</si>
  <si>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</si>
  <si>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</si>
  <si>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</si>
  <si>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</si>
  <si>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</si>
  <si>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</si>
  <si>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</si>
  <si>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</si>
  <si>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</si>
  <si>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</si>
  <si>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</si>
  <si>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</si>
  <si>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</si>
  <si>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</si>
  <si>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</si>
  <si>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</si>
  <si>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</si>
  <si>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</si>
  <si>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</si>
  <si>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</si>
  <si>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</si>
  <si>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</si>
  <si>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</si>
  <si>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</si>
  <si>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</si>
  <si>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</si>
  <si>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</si>
  <si>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</si>
  <si>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</si>
  <si>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</si>
  <si>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</si>
  <si>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</si>
  <si>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</si>
  <si>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</si>
  <si>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</si>
  <si>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</si>
  <si>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</si>
  <si>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</si>
  <si>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</si>
  <si>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</si>
  <si>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</si>
  <si>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</si>
  <si>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</si>
  <si>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</si>
  <si>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</si>
  <si>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</si>
  <si>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</si>
  <si>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</si>
  <si>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</si>
  <si>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</si>
  <si>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</si>
  <si>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</si>
  <si>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</si>
  <si>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</si>
  <si>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</si>
  <si>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</si>
  <si>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</si>
  <si>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</si>
  <si>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</si>
  <si>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</si>
  <si>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</si>
  <si>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</si>
  <si>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</si>
  <si>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</si>
  <si>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</si>
  <si>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</si>
  <si>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</si>
  <si>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</si>
  <si>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</si>
  <si>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</si>
  <si>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</si>
  <si>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</si>
  <si>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</si>
  <si>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</si>
  <si>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</si>
  <si>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</si>
  <si>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</si>
  <si>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</si>
  <si>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</si>
  <si>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</si>
  <si>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</si>
  <si>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</si>
  <si>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</si>
  <si>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</si>
  <si>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</si>
  <si>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</si>
  <si>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</si>
  <si>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</si>
  <si>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</si>
  <si>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</si>
  <si>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</si>
  <si>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</si>
  <si>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</si>
  <si>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</si>
  <si>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</si>
  <si>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</si>
  <si>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</si>
  <si>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</si>
  <si>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</si>
  <si>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</si>
  <si>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</si>
  <si>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</si>
  <si>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</si>
  <si>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</si>
  <si>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</si>
  <si>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</si>
  <si>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</si>
  <si>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</si>
  <si>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</si>
  <si>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</si>
  <si>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</si>
  <si>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</si>
  <si>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</si>
  <si>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</si>
  <si>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</si>
  <si>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</si>
  <si>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</si>
  <si>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</si>
  <si>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</si>
  <si>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</si>
  <si>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</si>
  <si>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</si>
  <si>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</si>
  <si>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</si>
  <si>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</si>
  <si>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</si>
  <si>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</si>
  <si>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</si>
  <si>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</si>
  <si>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</si>
  <si>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</si>
  <si>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</si>
  <si>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</si>
  <si>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</si>
  <si>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</si>
  <si>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</si>
  <si>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</si>
  <si>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</si>
  <si>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</si>
  <si>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</si>
  <si>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</si>
  <si>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</si>
  <si>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</si>
  <si>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</si>
  <si>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</si>
  <si>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</si>
  <si>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</si>
  <si>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</si>
  <si>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</si>
  <si>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</si>
  <si>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</si>
  <si>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</si>
  <si>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</si>
  <si>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</si>
  <si>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</si>
  <si>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</si>
  <si>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</si>
  <si>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</si>
  <si>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</si>
  <si>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</si>
  <si>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</si>
  <si>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</si>
  <si>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</si>
  <si>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</si>
  <si>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</si>
  <si>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</si>
  <si>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</si>
  <si>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</si>
  <si>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</si>
  <si>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</si>
  <si>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</si>
  <si>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</si>
  <si>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</si>
  <si>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</si>
  <si>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</si>
  <si>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</si>
  <si>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</si>
  <si>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</si>
  <si>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</si>
  <si>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</si>
  <si>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</si>
  <si>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</si>
  <si>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</si>
  <si>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</si>
  <si>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</si>
  <si>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</si>
  <si>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</si>
  <si>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</si>
  <si>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</si>
  <si>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</si>
  <si>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</si>
  <si>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</si>
  <si>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</si>
  <si>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</si>
  <si>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</si>
  <si>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</si>
  <si>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</si>
  <si>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</si>
  <si>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</si>
  <si>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</si>
  <si>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</si>
  <si>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</si>
  <si>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</si>
  <si>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</si>
  <si>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</si>
  <si>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</si>
  <si>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</si>
  <si>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</si>
  <si>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</si>
  <si>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</si>
  <si>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</si>
  <si>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</si>
  <si>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</si>
  <si>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</si>
  <si>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</si>
  <si>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</si>
  <si>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</si>
  <si>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</si>
  <si>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</si>
  <si>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</si>
  <si>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</si>
  <si>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</si>
  <si>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</si>
  <si>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</si>
  <si>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</si>
  <si>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</si>
  <si>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</si>
  <si>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</si>
  <si>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</si>
  <si>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</si>
  <si>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</si>
  <si>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</si>
  <si>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</si>
  <si>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</si>
  <si>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</si>
  <si>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</si>
  <si>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</si>
  <si>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</si>
  <si>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</si>
  <si>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</si>
  <si>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</si>
  <si>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</si>
  <si>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</si>
  <si>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</si>
  <si>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</si>
  <si>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</si>
  <si>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</si>
  <si>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</si>
  <si>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</si>
  <si>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</si>
  <si>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</si>
  <si>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</si>
  <si>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</si>
  <si>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</si>
  <si>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</si>
  <si>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</si>
  <si>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</si>
  <si>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</si>
  <si>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</si>
  <si>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</si>
  <si>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</si>
  <si>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</si>
  <si>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</si>
  <si>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</si>
  <si>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</si>
  <si>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</si>
  <si>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</si>
  <si>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</si>
  <si>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</si>
  <si>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</si>
  <si>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</si>
  <si>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</si>
  <si>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</si>
  <si>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</si>
  <si>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</si>
  <si>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</si>
  <si>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</si>
  <si>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</si>
  <si>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</si>
  <si>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</si>
  <si>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</si>
  <si>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</si>
  <si>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</si>
  <si>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</si>
  <si>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</si>
  <si>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</si>
  <si>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</si>
  <si>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</si>
  <si>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</si>
  <si>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</si>
  <si>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</si>
  <si>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</si>
  <si>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</si>
  <si>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</si>
  <si>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</si>
  <si>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</si>
  <si>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</si>
  <si>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</si>
  <si>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</si>
  <si>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</si>
  <si>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</si>
  <si>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</si>
  <si>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</si>
  <si>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</si>
  <si>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</si>
  <si>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</si>
  <si>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</si>
  <si>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</si>
  <si>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</si>
  <si>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</si>
  <si>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</si>
  <si>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</si>
  <si>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</si>
  <si>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</si>
  <si>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</si>
  <si>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</si>
  <si>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</si>
  <si>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</si>
  <si>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</si>
  <si>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</si>
  <si>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</si>
  <si>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</si>
  <si>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</si>
  <si>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</si>
  <si>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</si>
  <si>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</si>
  <si>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</si>
  <si>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</si>
  <si>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</si>
  <si>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</si>
  <si>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</si>
  <si>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</si>
  <si>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</si>
  <si>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</si>
  <si>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</si>
  <si>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</si>
  <si>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</si>
  <si>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</si>
  <si>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</si>
  <si>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</si>
  <si>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</si>
  <si>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</si>
  <si>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</si>
  <si>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</si>
  <si>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</si>
  <si>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</si>
  <si>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</si>
  <si>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</si>
  <si>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</si>
  <si>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</si>
  <si>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</si>
  <si>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</si>
  <si>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</si>
  <si>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</si>
  <si>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</si>
  <si>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</si>
  <si>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</si>
  <si>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</si>
  <si>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</si>
  <si>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</si>
  <si>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</si>
  <si>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</si>
  <si>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</si>
  <si>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</si>
  <si>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</si>
  <si>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</si>
  <si>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</si>
  <si>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</si>
  <si>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</si>
  <si>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</si>
  <si>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</si>
  <si>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</si>
  <si>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</si>
  <si>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</si>
  <si>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</si>
  <si>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</si>
  <si>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</si>
  <si>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</si>
  <si>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</si>
  <si>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</si>
  <si>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</si>
  <si>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</si>
  <si>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</si>
  <si>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</si>
  <si>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</si>
  <si>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</si>
  <si>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</si>
  <si>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</si>
  <si>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</si>
  <si>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</si>
  <si>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</si>
  <si>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</si>
  <si>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</si>
  <si>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</si>
  <si>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</si>
  <si>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</si>
  <si>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</si>
  <si>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</si>
  <si>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</si>
  <si>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</si>
  <si>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</si>
  <si>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</si>
  <si>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</si>
  <si>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</si>
  <si>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</si>
  <si>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</si>
  <si>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</si>
  <si>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</si>
  <si>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</si>
  <si>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</si>
  <si>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</si>
  <si>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</si>
  <si>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</si>
  <si>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</si>
  <si>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</si>
  <si>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</si>
  <si>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</si>
  <si>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</si>
  <si>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</si>
  <si>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</si>
  <si>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</si>
  <si>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</si>
  <si>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</si>
  <si>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</si>
  <si>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</si>
  <si>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</si>
  <si>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</si>
  <si>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</si>
  <si>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</si>
  <si>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</si>
  <si>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</si>
  <si>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</si>
  <si>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</si>
  <si>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</si>
  <si>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</si>
  <si>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</si>
  <si>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</si>
  <si>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</si>
  <si>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</si>
  <si>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</si>
  <si>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</si>
  <si>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</si>
  <si>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</si>
  <si>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</si>
  <si>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</si>
  <si>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</si>
  <si>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</si>
  <si>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</si>
  <si>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</si>
  <si>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</si>
  <si>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</si>
  <si>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</si>
  <si>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</si>
  <si>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</si>
  <si>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</si>
  <si>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</si>
  <si>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</si>
  <si>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</si>
  <si>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</si>
  <si>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</si>
  <si>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</si>
  <si>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</si>
  <si>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</si>
  <si>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</si>
  <si>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</si>
  <si>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</si>
  <si>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</si>
  <si>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</si>
  <si>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</si>
  <si>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</si>
  <si>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</si>
  <si>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</si>
  <si>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</si>
  <si>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</si>
  <si>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</si>
  <si>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</si>
  <si>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</si>
  <si>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</si>
  <si>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</si>
  <si>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</si>
  <si>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</si>
  <si>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</si>
  <si>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</si>
  <si>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</si>
  <si>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</si>
  <si>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</si>
  <si>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</si>
  <si>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</si>
  <si>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</si>
  <si>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</si>
  <si>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</si>
  <si>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</si>
  <si>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</si>
  <si>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</si>
  <si>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</si>
  <si>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</si>
  <si>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</si>
  <si>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</si>
  <si>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</si>
  <si>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</si>
  <si>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</si>
  <si>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</si>
  <si>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</si>
  <si>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</si>
  <si>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</si>
  <si>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</si>
  <si>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</si>
  <si>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</si>
  <si>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</si>
  <si>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</si>
  <si>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</si>
  <si>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</si>
  <si>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</si>
  <si>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</si>
  <si>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</si>
  <si>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</si>
  <si>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</si>
  <si>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</si>
  <si>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</si>
  <si>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</si>
  <si>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</si>
  <si>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</si>
  <si>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</si>
  <si>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</si>
  <si>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</si>
  <si>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</si>
  <si>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</si>
  <si>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</si>
  <si>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</si>
  <si>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</si>
  <si>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</si>
  <si>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</si>
  <si>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</si>
  <si>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</si>
  <si>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</si>
  <si>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</si>
  <si>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</si>
  <si>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</si>
  <si>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</si>
  <si>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</si>
  <si>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</si>
  <si>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</si>
  <si>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</si>
  <si>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</si>
  <si>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</si>
  <si>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</si>
  <si>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</si>
  <si>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</si>
  <si>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</si>
  <si>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</si>
  <si>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</si>
  <si>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</si>
  <si>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</si>
  <si>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</si>
  <si>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</si>
  <si>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</si>
  <si>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</si>
  <si>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</si>
  <si>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</si>
  <si>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</si>
  <si>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</si>
  <si>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</si>
  <si>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</si>
  <si>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</si>
  <si>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</si>
  <si>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</si>
  <si>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</si>
  <si>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</si>
  <si>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</si>
  <si>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</si>
  <si>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</si>
  <si>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</si>
  <si>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</si>
  <si>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</si>
  <si>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</si>
  <si>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</si>
  <si>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</si>
  <si>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</si>
  <si>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</si>
  <si>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</si>
  <si>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</si>
  <si>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</si>
  <si>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</si>
  <si>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</si>
  <si>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</si>
  <si>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</si>
  <si>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</si>
  <si>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</si>
  <si>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</si>
  <si>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</si>
  <si>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</si>
  <si>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</si>
  <si>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</si>
  <si>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</si>
  <si>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</si>
  <si>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</si>
  <si>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</si>
  <si>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</si>
  <si>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</si>
  <si>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</si>
  <si>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</si>
  <si>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</si>
  <si>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</si>
  <si>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</si>
  <si>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</si>
  <si>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</si>
  <si>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</si>
  <si>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</si>
  <si>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</si>
  <si>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</si>
  <si>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</si>
  <si>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</si>
  <si>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</si>
  <si>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</si>
  <si>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</si>
  <si>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</si>
  <si>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</si>
  <si>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</si>
  <si>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</si>
  <si>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</si>
  <si>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</si>
  <si>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</si>
  <si>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</si>
  <si>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</si>
  <si>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</si>
  <si>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</si>
  <si>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</si>
  <si>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</si>
  <si>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</si>
  <si>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</si>
  <si>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</si>
  <si>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</si>
  <si>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</si>
  <si>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</si>
  <si>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</si>
  <si>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</si>
  <si>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</si>
  <si>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</si>
  <si>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</si>
  <si>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</si>
  <si>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</si>
  <si>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</si>
  <si>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</si>
  <si>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</si>
  <si>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</si>
  <si>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</si>
  <si>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</si>
  <si>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</si>
  <si>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</si>
  <si>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</si>
  <si>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</si>
  <si>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</si>
  <si>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</si>
  <si>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</si>
  <si>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</si>
  <si>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</si>
  <si>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</si>
  <si>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</si>
  <si>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</si>
  <si>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</si>
  <si>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</si>
  <si>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</si>
  <si>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</si>
  <si>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</si>
  <si>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</si>
  <si>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</si>
  <si>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</si>
  <si>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</si>
  <si>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</si>
  <si>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</si>
  <si>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</si>
  <si>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</si>
  <si>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</si>
  <si>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</si>
  <si>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</si>
  <si>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</si>
  <si>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</si>
  <si>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</si>
  <si>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</si>
  <si>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</si>
  <si>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</si>
  <si>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</si>
  <si>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</si>
  <si>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</si>
  <si>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</si>
  <si>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</si>
  <si>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</si>
  <si>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</si>
  <si>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</si>
  <si>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</si>
  <si>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</si>
  <si>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</si>
  <si>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</si>
  <si>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</si>
  <si>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</si>
  <si>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</si>
  <si>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</si>
  <si>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</si>
  <si>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</si>
  <si>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</si>
  <si>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</si>
  <si>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</si>
  <si>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</si>
  <si>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</si>
  <si>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</si>
  <si>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</si>
  <si>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</si>
  <si>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</si>
  <si>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</si>
  <si>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</si>
  <si>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</si>
  <si>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</si>
  <si>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</si>
  <si>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</si>
  <si>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</si>
  <si>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</si>
  <si>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</si>
  <si>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</si>
  <si>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</si>
  <si>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</si>
  <si>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</si>
  <si>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</si>
  <si>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</si>
  <si>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</si>
  <si>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</si>
  <si>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</si>
  <si>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</si>
  <si>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</si>
  <si>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</si>
  <si>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</si>
  <si>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</si>
  <si>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</si>
  <si>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</si>
  <si>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</si>
  <si>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</si>
  <si>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</si>
  <si>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</si>
  <si>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</si>
  <si>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</si>
  <si>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</si>
  <si>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</si>
  <si>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</si>
  <si>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</si>
  <si>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</si>
  <si>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</si>
  <si>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</si>
  <si>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</si>
  <si>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</si>
  <si>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</si>
  <si>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</si>
  <si>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</si>
  <si>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</si>
  <si>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</si>
  <si>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</si>
  <si>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</si>
  <si>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</si>
  <si>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</si>
  <si>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</si>
  <si>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</si>
  <si>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</si>
  <si>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</si>
  <si>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</si>
  <si>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</si>
  <si>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</si>
  <si>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</si>
  <si>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</si>
  <si>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</si>
  <si>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</si>
  <si>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</si>
  <si>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</si>
  <si>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</si>
  <si>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</si>
  <si>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</si>
  <si>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</si>
  <si>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</si>
  <si>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</si>
  <si>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</si>
  <si>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</si>
  <si>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</si>
  <si>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</si>
  <si>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</si>
  <si>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</si>
  <si>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</si>
  <si>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</si>
  <si>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</si>
  <si>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</si>
  <si>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</si>
  <si>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</si>
  <si>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</si>
  <si>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</si>
  <si>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</si>
  <si>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</si>
  <si>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</si>
  <si>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</si>
  <si>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</si>
  <si>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</si>
  <si>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</si>
  <si>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</si>
  <si>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</si>
  <si>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</si>
  <si>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</si>
  <si>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Florida Cirtech</t>
  </si>
  <si>
    <t>1309 N 17th Ave, Greeley CO 80631</t>
  </si>
  <si>
    <t>Sven Bock</t>
  </si>
  <si>
    <t>sbock@fctcompanies.com</t>
  </si>
  <si>
    <t>970-346-8002</t>
  </si>
  <si>
    <t>Director of Quality / ITAR EO / Management Rep.</t>
  </si>
  <si>
    <t>214-315-7-45</t>
  </si>
  <si>
    <t>RMI validated and compliant smelter (see smelter list tab for complete breakdown)</t>
  </si>
  <si>
    <t>https://floridacirtech.com/quality</t>
  </si>
  <si>
    <t>BARSN100CLB25, BARSN100CLeB</t>
  </si>
  <si>
    <t>SN100CL, SN100CLe</t>
  </si>
  <si>
    <t>Lead-Free bar solder</t>
  </si>
  <si>
    <t>BARFCTPLUS, BARFCTPLUSFB</t>
  </si>
  <si>
    <t>Nitroflo Plus</t>
  </si>
  <si>
    <t>63/37 Tin/Lead solder bar</t>
  </si>
  <si>
    <t>Ni10</t>
  </si>
  <si>
    <t>Nickel 10</t>
  </si>
  <si>
    <t>Nickel additive</t>
  </si>
  <si>
    <t>AO1000</t>
  </si>
  <si>
    <t>Germanium additive</t>
  </si>
  <si>
    <t>TS28, TS56</t>
  </si>
  <si>
    <t>Immersion Tin chemistry</t>
  </si>
  <si>
    <t>Operaciones Metalurgical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</si>
</sst>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737985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loridacirtech.com/quality"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34" activePane="bottomRight" state="frozen"/>
      <selection activeCell="A4" sqref="A4"/>
      <selection pane="topRight" activeCell="A4" sqref="A4"/>
      <selection pane="bottomLeft" activeCell="A4" sqref="A4"/>
      <selection pane="bottomRight" activeCell="F6" sqref="F6"/>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49"/>
      <c r="B2" s="38" t="s">
        <v>870</v>
      </c>
      <c r="C2" s="36"/>
      <c r="D2" s="208"/>
      <c r="E2" s="3"/>
      <c r="F2" s="36"/>
      <c r="G2" s="34"/>
    </row>
    <row r="3" spans="1:7">
      <c r="A3" s="349"/>
      <c r="B3" s="5" t="s">
        <v>862</v>
      </c>
      <c r="C3" s="6"/>
      <c r="D3" s="209"/>
      <c r="E3" s="3"/>
      <c r="F3" s="6"/>
      <c r="G3" s="34"/>
    </row>
    <row r="4" spans="1:7" ht="15">
      <c r="A4" s="349"/>
      <c r="B4" s="41" t="s">
        <v>872</v>
      </c>
      <c r="C4" s="7"/>
      <c r="D4" s="210"/>
      <c r="E4" s="3"/>
      <c r="F4" s="7"/>
      <c r="G4" s="34"/>
    </row>
    <row r="5" spans="1:7" ht="13.2">
      <c r="A5" s="349"/>
      <c r="B5" s="40" t="s">
        <v>1063</v>
      </c>
      <c r="C5" s="4"/>
      <c r="D5" s="211"/>
      <c r="E5" s="3"/>
      <c r="F5" s="4"/>
      <c r="G5" s="34"/>
    </row>
    <row r="6" spans="1:7">
      <c r="A6" s="349"/>
      <c r="B6" s="8"/>
      <c r="C6" s="8"/>
      <c r="D6" s="212"/>
      <c r="E6" s="8"/>
      <c r="F6" s="8"/>
      <c r="G6" s="34"/>
    </row>
    <row r="7" spans="1:7">
      <c r="A7" s="349"/>
      <c r="B7" s="8"/>
      <c r="C7" s="8"/>
      <c r="D7" s="212"/>
      <c r="E7" s="8"/>
      <c r="F7" s="8"/>
      <c r="G7" s="34"/>
    </row>
    <row r="8" spans="1:7">
      <c r="A8" s="349"/>
      <c r="B8" s="8"/>
      <c r="C8" s="8"/>
      <c r="D8" s="212"/>
      <c r="E8" s="8"/>
      <c r="F8" s="8"/>
      <c r="G8" s="34"/>
    </row>
    <row r="9" spans="1:7">
      <c r="A9" s="349"/>
      <c r="B9" s="352" t="s">
        <v>873</v>
      </c>
      <c r="C9" s="352"/>
      <c r="D9" s="352"/>
      <c r="E9" s="352"/>
      <c r="F9" s="352"/>
      <c r="G9" s="34"/>
    </row>
    <row r="10" spans="1:7" ht="27" customHeight="1">
      <c r="A10" s="349"/>
      <c r="B10" s="353" t="s">
        <v>448</v>
      </c>
      <c r="C10" s="353"/>
      <c r="D10" s="353"/>
      <c r="E10" s="353"/>
      <c r="F10" s="353"/>
      <c r="G10" s="34"/>
    </row>
    <row r="11" spans="1:7" ht="27" customHeight="1">
      <c r="A11" s="349"/>
      <c r="B11" s="354"/>
      <c r="C11" s="354"/>
      <c r="D11" s="354"/>
      <c r="E11" s="354"/>
      <c r="F11" s="354"/>
      <c r="G11" s="34"/>
    </row>
    <row r="12" spans="1:7">
      <c r="A12" s="349"/>
      <c r="B12" s="42" t="s">
        <v>871</v>
      </c>
      <c r="C12" s="43" t="s">
        <v>874</v>
      </c>
      <c r="D12" s="213" t="s">
        <v>875</v>
      </c>
      <c r="E12" s="43" t="s">
        <v>628</v>
      </c>
      <c r="F12" s="43" t="s">
        <v>629</v>
      </c>
      <c r="G12" s="34"/>
    </row>
    <row r="13" spans="1:7" ht="20.399999999999999">
      <c r="A13" s="349"/>
      <c r="B13" s="2">
        <v>1</v>
      </c>
      <c r="C13" s="37" t="s">
        <v>1111</v>
      </c>
      <c r="D13" s="39" t="s">
        <v>899</v>
      </c>
      <c r="E13" s="196" t="s">
        <v>876</v>
      </c>
      <c r="F13" s="196"/>
      <c r="G13" s="34"/>
    </row>
    <row r="14" spans="1:7" ht="30.6">
      <c r="A14" s="349"/>
      <c r="B14" s="2">
        <v>2</v>
      </c>
      <c r="C14" s="37" t="s">
        <v>1111</v>
      </c>
      <c r="D14" s="39" t="s">
        <v>1048</v>
      </c>
      <c r="E14" s="196" t="s">
        <v>540</v>
      </c>
      <c r="F14" s="196" t="s">
        <v>541</v>
      </c>
      <c r="G14" s="34"/>
    </row>
    <row r="15" spans="1:7" ht="89.1" customHeight="1">
      <c r="A15" s="349"/>
      <c r="B15" s="355">
        <v>2.0099999999999998</v>
      </c>
      <c r="C15" s="358" t="s">
        <v>1111</v>
      </c>
      <c r="D15" s="361" t="s">
        <v>2358</v>
      </c>
      <c r="E15" s="197" t="s">
        <v>630</v>
      </c>
      <c r="F15" s="197" t="s">
        <v>633</v>
      </c>
      <c r="G15" s="34"/>
    </row>
    <row r="16" spans="1:7" ht="99" customHeight="1">
      <c r="A16" s="349"/>
      <c r="B16" s="356"/>
      <c r="C16" s="359"/>
      <c r="D16" s="362"/>
      <c r="E16" s="198"/>
      <c r="F16" s="198" t="s">
        <v>631</v>
      </c>
      <c r="G16" s="34"/>
    </row>
    <row r="17" spans="1:7" ht="63" customHeight="1">
      <c r="A17" s="349"/>
      <c r="B17" s="357"/>
      <c r="C17" s="360"/>
      <c r="D17" s="363"/>
      <c r="E17" s="37"/>
      <c r="F17" s="37" t="s">
        <v>632</v>
      </c>
      <c r="G17" s="34"/>
    </row>
    <row r="18" spans="1:7" ht="117" customHeight="1">
      <c r="A18" s="349"/>
      <c r="B18" s="355">
        <v>2.02</v>
      </c>
      <c r="C18" s="358" t="s">
        <v>1111</v>
      </c>
      <c r="D18" s="361" t="s">
        <v>2359</v>
      </c>
      <c r="E18" s="197" t="s">
        <v>449</v>
      </c>
      <c r="F18" s="197" t="s">
        <v>535</v>
      </c>
      <c r="G18" s="34"/>
    </row>
    <row r="19" spans="1:7" ht="71.099999999999994" customHeight="1">
      <c r="A19" s="349"/>
      <c r="B19" s="356"/>
      <c r="C19" s="359"/>
      <c r="D19" s="362"/>
      <c r="E19" s="198" t="s">
        <v>539</v>
      </c>
      <c r="F19" s="198" t="s">
        <v>450</v>
      </c>
      <c r="G19" s="34"/>
    </row>
    <row r="20" spans="1:7" ht="90.75" customHeight="1">
      <c r="A20" s="349"/>
      <c r="B20" s="356"/>
      <c r="C20" s="359"/>
      <c r="D20" s="362"/>
      <c r="E20" s="198"/>
      <c r="F20" s="198" t="s">
        <v>635</v>
      </c>
      <c r="G20" s="34"/>
    </row>
    <row r="21" spans="1:7" ht="74.25" customHeight="1">
      <c r="A21" s="349"/>
      <c r="B21" s="357"/>
      <c r="C21" s="360"/>
      <c r="D21" s="363"/>
      <c r="E21" s="37"/>
      <c r="F21" s="37" t="s">
        <v>634</v>
      </c>
      <c r="G21" s="34"/>
    </row>
    <row r="22" spans="1:7" ht="90" customHeight="1">
      <c r="A22" s="349"/>
      <c r="B22" s="367">
        <v>2.0299999999999998</v>
      </c>
      <c r="C22" s="367" t="s">
        <v>845</v>
      </c>
      <c r="D22" s="370" t="s">
        <v>2360</v>
      </c>
      <c r="E22" s="358" t="s">
        <v>447</v>
      </c>
      <c r="F22" s="197" t="s">
        <v>470</v>
      </c>
      <c r="G22" s="34"/>
    </row>
    <row r="23" spans="1:7" ht="109.5" customHeight="1">
      <c r="A23" s="349"/>
      <c r="B23" s="368"/>
      <c r="C23" s="368"/>
      <c r="D23" s="371"/>
      <c r="E23" s="359"/>
      <c r="F23" s="198" t="s">
        <v>846</v>
      </c>
      <c r="G23" s="34"/>
    </row>
    <row r="24" spans="1:7" ht="74.25" customHeight="1">
      <c r="A24" s="349"/>
      <c r="B24" s="369"/>
      <c r="C24" s="369"/>
      <c r="D24" s="372"/>
      <c r="E24" s="360"/>
      <c r="F24" s="37" t="s">
        <v>446</v>
      </c>
      <c r="G24" s="34"/>
    </row>
    <row r="25" spans="1:7" ht="72" customHeight="1">
      <c r="A25" s="349"/>
      <c r="B25" s="2" t="s">
        <v>468</v>
      </c>
      <c r="C25" s="37" t="s">
        <v>469</v>
      </c>
      <c r="D25" s="39" t="s">
        <v>2361</v>
      </c>
      <c r="E25" s="37" t="s">
        <v>2356</v>
      </c>
      <c r="F25" s="37" t="s">
        <v>471</v>
      </c>
      <c r="G25" s="34"/>
    </row>
    <row r="26" spans="1:7" ht="98.1" customHeight="1">
      <c r="A26" s="349"/>
      <c r="B26" s="364">
        <v>3</v>
      </c>
      <c r="C26" s="355" t="s">
        <v>72</v>
      </c>
      <c r="D26" s="361" t="s">
        <v>2362</v>
      </c>
      <c r="E26" s="358" t="s">
        <v>0</v>
      </c>
      <c r="F26" s="197" t="s">
        <v>66</v>
      </c>
      <c r="G26" s="34"/>
    </row>
    <row r="27" spans="1:7" ht="90" customHeight="1">
      <c r="A27" s="349"/>
      <c r="B27" s="365"/>
      <c r="C27" s="356"/>
      <c r="D27" s="362"/>
      <c r="E27" s="359"/>
      <c r="F27" s="198" t="s">
        <v>61</v>
      </c>
      <c r="G27" s="34"/>
    </row>
    <row r="28" spans="1:7" ht="19.350000000000001" customHeight="1">
      <c r="A28" s="349"/>
      <c r="B28" s="365"/>
      <c r="C28" s="356"/>
      <c r="D28" s="362"/>
      <c r="E28" s="359"/>
      <c r="F28" s="198" t="s">
        <v>62</v>
      </c>
      <c r="G28" s="34"/>
    </row>
    <row r="29" spans="1:7" ht="74.55" customHeight="1">
      <c r="A29" s="349"/>
      <c r="B29" s="365"/>
      <c r="C29" s="356"/>
      <c r="D29" s="362"/>
      <c r="E29" s="359"/>
      <c r="F29" s="198" t="s">
        <v>63</v>
      </c>
      <c r="G29" s="34"/>
    </row>
    <row r="30" spans="1:7" ht="62.55" customHeight="1">
      <c r="A30" s="349"/>
      <c r="B30" s="365"/>
      <c r="C30" s="356"/>
      <c r="D30" s="362"/>
      <c r="E30" s="359"/>
      <c r="F30" s="198" t="s">
        <v>64</v>
      </c>
      <c r="G30" s="34"/>
    </row>
    <row r="31" spans="1:7" ht="81" customHeight="1">
      <c r="A31" s="349"/>
      <c r="B31" s="365"/>
      <c r="C31" s="356"/>
      <c r="D31" s="362"/>
      <c r="E31" s="359"/>
      <c r="F31" s="198" t="s">
        <v>65</v>
      </c>
      <c r="G31" s="34"/>
    </row>
    <row r="32" spans="1:7" ht="48.75" customHeight="1">
      <c r="A32" s="349"/>
      <c r="B32" s="365"/>
      <c r="C32" s="356"/>
      <c r="D32" s="362"/>
      <c r="E32" s="359"/>
      <c r="F32" s="198" t="s">
        <v>68</v>
      </c>
      <c r="G32" s="34"/>
    </row>
    <row r="33" spans="1:7" ht="98.55" customHeight="1">
      <c r="A33" s="349"/>
      <c r="B33" s="365"/>
      <c r="C33" s="356"/>
      <c r="D33" s="362"/>
      <c r="E33" s="359"/>
      <c r="F33" s="198" t="s">
        <v>67</v>
      </c>
      <c r="G33" s="34"/>
    </row>
    <row r="34" spans="1:7" ht="89.1" customHeight="1">
      <c r="A34" s="349"/>
      <c r="B34" s="365"/>
      <c r="C34" s="356"/>
      <c r="D34" s="362"/>
      <c r="E34" s="359"/>
      <c r="F34" s="198" t="s">
        <v>69</v>
      </c>
      <c r="G34" s="34"/>
    </row>
    <row r="35" spans="1:7" ht="29.1" customHeight="1">
      <c r="A35" s="349"/>
      <c r="B35" s="365"/>
      <c r="C35" s="356"/>
      <c r="D35" s="362"/>
      <c r="E35" s="359"/>
      <c r="F35" s="198" t="s">
        <v>70</v>
      </c>
      <c r="G35" s="34"/>
    </row>
    <row r="36" spans="1:7" ht="112.2">
      <c r="A36" s="349"/>
      <c r="B36" s="366"/>
      <c r="C36" s="357"/>
      <c r="D36" s="363"/>
      <c r="E36" s="360"/>
      <c r="F36" s="199" t="s">
        <v>71</v>
      </c>
      <c r="G36" s="34"/>
    </row>
    <row r="37" spans="1:7" ht="102">
      <c r="A37" s="349"/>
      <c r="B37" s="171">
        <v>3.01</v>
      </c>
      <c r="C37" s="172" t="s">
        <v>72</v>
      </c>
      <c r="D37" s="39" t="s">
        <v>2363</v>
      </c>
      <c r="E37" s="200" t="s">
        <v>1351</v>
      </c>
      <c r="F37" s="201" t="s">
        <v>1457</v>
      </c>
      <c r="G37" s="34"/>
    </row>
    <row r="38" spans="1:7" ht="81.599999999999994">
      <c r="A38" s="349"/>
      <c r="B38" s="171">
        <v>3.02</v>
      </c>
      <c r="C38" s="172" t="s">
        <v>1384</v>
      </c>
      <c r="D38" s="39" t="s">
        <v>2364</v>
      </c>
      <c r="E38" s="200" t="s">
        <v>1399</v>
      </c>
      <c r="F38" s="201" t="s">
        <v>1458</v>
      </c>
      <c r="G38" s="34"/>
    </row>
    <row r="39" spans="1:7" ht="81.599999999999994">
      <c r="A39" s="349"/>
      <c r="B39" s="182">
        <v>4</v>
      </c>
      <c r="C39" s="181" t="s">
        <v>1554</v>
      </c>
      <c r="D39" s="39" t="s">
        <v>2365</v>
      </c>
      <c r="E39" s="37" t="s">
        <v>2307</v>
      </c>
      <c r="F39" s="37" t="s">
        <v>1555</v>
      </c>
      <c r="G39" s="34"/>
    </row>
    <row r="40" spans="1:7" ht="40.799999999999997">
      <c r="A40" s="349"/>
      <c r="B40" s="171">
        <v>4.01</v>
      </c>
      <c r="C40" s="181" t="s">
        <v>1554</v>
      </c>
      <c r="D40" s="39" t="s">
        <v>2367</v>
      </c>
      <c r="E40" s="37" t="s">
        <v>2321</v>
      </c>
      <c r="F40" s="37" t="s">
        <v>2326</v>
      </c>
      <c r="G40" s="34"/>
    </row>
    <row r="41" spans="1:7" ht="40.799999999999997">
      <c r="A41" s="349"/>
      <c r="B41" s="171" t="s">
        <v>2354</v>
      </c>
      <c r="C41" s="181" t="s">
        <v>1554</v>
      </c>
      <c r="D41" s="39" t="s">
        <v>2366</v>
      </c>
      <c r="E41" s="37" t="s">
        <v>2357</v>
      </c>
      <c r="F41" s="37" t="s">
        <v>2355</v>
      </c>
      <c r="G41" s="34"/>
    </row>
    <row r="42" spans="1:7" ht="40.799999999999997">
      <c r="A42" s="349"/>
      <c r="B42" s="171" t="s">
        <v>2399</v>
      </c>
      <c r="C42" s="181" t="s">
        <v>1554</v>
      </c>
      <c r="D42" s="39" t="s">
        <v>2406</v>
      </c>
      <c r="E42" s="37" t="s">
        <v>2356</v>
      </c>
      <c r="F42" s="37" t="s">
        <v>2400</v>
      </c>
      <c r="G42" s="34"/>
    </row>
    <row r="43" spans="1:7" ht="112.2">
      <c r="A43" s="349"/>
      <c r="B43" s="193">
        <v>4.0999999999999996</v>
      </c>
      <c r="C43" s="181" t="s">
        <v>2405</v>
      </c>
      <c r="D43" s="194">
        <v>42867</v>
      </c>
      <c r="E43" s="202" t="s">
        <v>2408</v>
      </c>
      <c r="F43" s="37" t="s">
        <v>2407</v>
      </c>
      <c r="G43" s="34"/>
    </row>
    <row r="44" spans="1:7" ht="71.400000000000006">
      <c r="A44" s="349"/>
      <c r="B44" s="193">
        <v>4.2</v>
      </c>
      <c r="C44" s="181" t="s">
        <v>2405</v>
      </c>
      <c r="D44" s="194">
        <v>42704</v>
      </c>
      <c r="E44" s="202" t="s">
        <v>2625</v>
      </c>
      <c r="F44" s="37" t="s">
        <v>2598</v>
      </c>
      <c r="G44" s="34"/>
    </row>
    <row r="45" spans="1:7" ht="132.6">
      <c r="A45" s="349"/>
      <c r="B45" s="243">
        <v>5</v>
      </c>
      <c r="C45" s="181" t="s">
        <v>2405</v>
      </c>
      <c r="D45" s="194">
        <v>42867</v>
      </c>
      <c r="E45" s="202" t="s">
        <v>13032</v>
      </c>
      <c r="F45" s="37" t="s">
        <v>12754</v>
      </c>
      <c r="G45" s="34"/>
    </row>
    <row r="46" spans="1:7" ht="30.6">
      <c r="A46" s="349"/>
      <c r="B46" s="193">
        <v>5.01</v>
      </c>
      <c r="C46" s="181" t="s">
        <v>2405</v>
      </c>
      <c r="D46" s="194">
        <v>42907</v>
      </c>
      <c r="E46" s="202" t="s">
        <v>13052</v>
      </c>
      <c r="F46" s="37" t="s">
        <v>12754</v>
      </c>
      <c r="G46" s="34"/>
    </row>
    <row r="47" spans="1:7" ht="61.2">
      <c r="A47" s="349"/>
      <c r="B47" s="193">
        <v>5.0999999999999996</v>
      </c>
      <c r="C47" s="181" t="s">
        <v>2405</v>
      </c>
      <c r="D47" s="194">
        <v>43070</v>
      </c>
      <c r="E47" s="202" t="s">
        <v>13247</v>
      </c>
      <c r="F47" s="37" t="s">
        <v>13248</v>
      </c>
      <c r="G47" s="34"/>
    </row>
    <row r="48" spans="1:7" ht="51">
      <c r="A48" s="349"/>
      <c r="B48" s="193">
        <v>5.1100000000000003</v>
      </c>
      <c r="C48" s="181" t="s">
        <v>13489</v>
      </c>
      <c r="D48" s="194">
        <v>43217</v>
      </c>
      <c r="E48" s="202" t="s">
        <v>13617</v>
      </c>
      <c r="F48" s="37" t="s">
        <v>13523</v>
      </c>
      <c r="G48" s="34"/>
    </row>
    <row r="49" spans="1:7" ht="51">
      <c r="A49" s="349"/>
      <c r="B49" s="193">
        <v>5.12</v>
      </c>
      <c r="C49" s="181" t="s">
        <v>13489</v>
      </c>
      <c r="D49" s="194">
        <v>43581</v>
      </c>
      <c r="E49" s="202" t="s">
        <v>13617</v>
      </c>
      <c r="F49" s="37" t="s">
        <v>14191</v>
      </c>
      <c r="G49" s="34"/>
    </row>
    <row r="50" spans="1:7" ht="71.400000000000006">
      <c r="A50" s="349"/>
      <c r="B50" s="243">
        <v>6</v>
      </c>
      <c r="C50" s="181" t="s">
        <v>13489</v>
      </c>
      <c r="D50" s="194">
        <v>43964</v>
      </c>
      <c r="E50" s="202" t="s">
        <v>14433</v>
      </c>
      <c r="F50" s="37" t="s">
        <v>14204</v>
      </c>
      <c r="G50" s="34"/>
    </row>
    <row r="51" spans="1:7" ht="40.799999999999997">
      <c r="A51" s="349"/>
      <c r="B51" s="193">
        <v>6.01</v>
      </c>
      <c r="C51" s="181" t="s">
        <v>13489</v>
      </c>
      <c r="D51" s="194">
        <v>43970</v>
      </c>
      <c r="E51" s="202" t="s">
        <v>15503</v>
      </c>
      <c r="F51" s="202" t="s">
        <v>14204</v>
      </c>
      <c r="G51" s="34"/>
    </row>
    <row r="52" spans="1:7" ht="13.2" thickBot="1">
      <c r="A52" s="350"/>
      <c r="B52" s="351" t="str">
        <f ca="1">OFFSET(L!$C$1,MATCH("General"&amp;"Cpy",L!$A:$A,0)-1,SL,,)</f>
        <v>© 2020 Responsible Minerals Initiative. All rights reserved.</v>
      </c>
      <c r="C52" s="351"/>
      <c r="D52" s="351"/>
      <c r="E52" s="351"/>
      <c r="F52" s="351"/>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4.0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8.6">
      <c r="A10" s="87"/>
      <c r="B10" s="74" t="str">
        <f ca="1">OFFSET(L!$C$1,MATCH("Definitions"&amp;ADDRESS(ROW(),COLUMN(),4),L!$A:$A,0)-1,SL,,)</f>
        <v>DRC</v>
      </c>
      <c r="C10" s="74" t="str">
        <f ca="1">OFFSET(L!$C$1,MATCH("Definitions"&amp;ADDRESS(ROW(),COLUMN(),4),L!$A:$A,0)-1,SL,,)</f>
        <v>Democratic Republic of Congo</v>
      </c>
      <c r="D10" s="377"/>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7"/>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6.2">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6.2">
      <c r="A32" s="87"/>
      <c r="B32" s="376" t="str">
        <f ca="1">OFFSET(L!$C$1,MATCH("General"&amp;"Cpy",L!$A:$A,0)-1,SL,,)</f>
        <v>© 2020 Responsible Minerals Initiative. All rights reserved.</v>
      </c>
      <c r="C32" s="376"/>
      <c r="D32" s="377"/>
      <c r="E32" s="128"/>
    </row>
    <row r="33" spans="1:4" ht="13.2" thickBot="1">
      <c r="A33" s="88"/>
      <c r="B33" s="185"/>
      <c r="C33" s="185"/>
      <c r="D33" s="378"/>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60" zoomScaleNormal="60" zoomScalePageLayoutView="70" workbookViewId="0">
      <selection activeCell="D11" sqref="D11:J1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1"/>
      <c r="B1" s="402"/>
      <c r="C1" s="402"/>
      <c r="D1" s="402"/>
      <c r="E1" s="402"/>
      <c r="F1" s="402"/>
      <c r="G1" s="402"/>
      <c r="H1" s="402"/>
      <c r="I1" s="402"/>
      <c r="J1" s="402"/>
      <c r="K1" s="40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4" t="str">
        <f ca="1">OFFSET(L!$C$1,MATCH("Declaration"&amp;ADDRESS(ROW(),COLUMN(),4),L!$A:$A,0)-1,SL,,)</f>
        <v>Conflict Minerals Reporting Template (CMRT)</v>
      </c>
      <c r="E2" s="405"/>
      <c r="F2" s="405"/>
      <c r="G2" s="405"/>
      <c r="H2" s="405"/>
      <c r="I2" s="405"/>
      <c r="J2" s="40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4"/>
      <c r="G3" s="414"/>
      <c r="H3" s="414"/>
      <c r="I3" s="184"/>
      <c r="J3" s="168" t="s">
        <v>15505</v>
      </c>
      <c r="K3" s="47"/>
      <c r="L3" s="139"/>
      <c r="M3" s="130"/>
      <c r="N3" s="130"/>
      <c r="O3" s="131"/>
      <c r="P3" s="144">
        <f>MATCH($D$3,LN,0)</f>
        <v>1</v>
      </c>
    </row>
    <row r="4" spans="1:34" ht="16.2">
      <c r="A4" s="45"/>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9" t="str">
        <f ca="1">OFFSET(L!$C$1,MATCH("Declaration"&amp;ADDRESS(ROW(),COLUMN(),4),L!$A:$A,0)-1,SL,,)</f>
        <v>Company Information</v>
      </c>
      <c r="C7" s="419"/>
      <c r="D7" s="419"/>
      <c r="E7" s="419"/>
      <c r="F7" s="419"/>
      <c r="G7" s="419"/>
      <c r="H7" s="419"/>
      <c r="I7" s="419"/>
      <c r="J7" s="419"/>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7" t="s">
        <v>15506</v>
      </c>
      <c r="E8" s="408"/>
      <c r="F8" s="408"/>
      <c r="G8" s="408"/>
      <c r="H8" s="408"/>
      <c r="I8" s="408"/>
      <c r="J8" s="409"/>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6" t="s">
        <v>505</v>
      </c>
      <c r="E9" s="417"/>
      <c r="F9" s="417"/>
      <c r="G9" s="41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20" t="str">
        <f ca="1">OFFSET(L!$C$1,MATCH("Declaration"&amp;ADDRESS(ROW(),COLUMN(),4)&amp;LEFT($D$9,1),L!$A:$A,0)-1,SL,,)</f>
        <v>Go to Product List tab to enter products this declaration applies to</v>
      </c>
      <c r="C10" s="151"/>
      <c r="D10" s="411"/>
      <c r="E10" s="412"/>
      <c r="F10" s="412"/>
      <c r="G10" s="412"/>
      <c r="H10" s="412"/>
      <c r="I10" s="412"/>
      <c r="J10" s="41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1"/>
      <c r="C11" s="151"/>
      <c r="D11" s="430" t="str">
        <f ca="1">IF(D9=Q9,OFFSET(L!$C$1,MATCH("Declaration"&amp;ADDRESS(ROW(),COLUMN(),4),L!$A:$A,0)-1,SL,,),"")</f>
        <v>Click here to enter the products this declaration applies to</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3"/>
      <c r="E12" s="394"/>
      <c r="F12" s="394"/>
      <c r="G12" s="394"/>
      <c r="H12" s="394"/>
      <c r="I12" s="394"/>
      <c r="J12" s="39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3"/>
      <c r="E13" s="394"/>
      <c r="F13" s="394"/>
      <c r="G13" s="394"/>
      <c r="H13" s="394"/>
      <c r="I13" s="394"/>
      <c r="J13" s="39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3" t="s">
        <v>15507</v>
      </c>
      <c r="E14" s="394"/>
      <c r="F14" s="394"/>
      <c r="G14" s="394"/>
      <c r="H14" s="394"/>
      <c r="I14" s="394"/>
      <c r="J14" s="39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3" t="s">
        <v>15508</v>
      </c>
      <c r="E15" s="394"/>
      <c r="F15" s="394"/>
      <c r="G15" s="394"/>
      <c r="H15" s="394"/>
      <c r="I15" s="394"/>
      <c r="J15" s="39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2" t="s">
        <v>15509</v>
      </c>
      <c r="E16" s="423"/>
      <c r="F16" s="423"/>
      <c r="G16" s="423"/>
      <c r="H16" s="423"/>
      <c r="I16" s="423"/>
      <c r="J16" s="42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3" t="s">
        <v>15510</v>
      </c>
      <c r="E17" s="394"/>
      <c r="F17" s="394"/>
      <c r="G17" s="394"/>
      <c r="H17" s="394"/>
      <c r="I17" s="394"/>
      <c r="J17" s="39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3" t="s">
        <v>15508</v>
      </c>
      <c r="E18" s="394"/>
      <c r="F18" s="394"/>
      <c r="G18" s="394"/>
      <c r="H18" s="394"/>
      <c r="I18" s="394"/>
      <c r="J18" s="39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3" t="s">
        <v>15511</v>
      </c>
      <c r="E19" s="394"/>
      <c r="F19" s="394"/>
      <c r="G19" s="394"/>
      <c r="H19" s="394"/>
      <c r="I19" s="394"/>
      <c r="J19" s="39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2" t="s">
        <v>15509</v>
      </c>
      <c r="E20" s="423"/>
      <c r="F20" s="423"/>
      <c r="G20" s="423"/>
      <c r="H20" s="423"/>
      <c r="I20" s="423"/>
      <c r="J20" s="42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7" t="s">
        <v>15512</v>
      </c>
      <c r="E21" s="388"/>
      <c r="F21" s="388"/>
      <c r="G21" s="388"/>
      <c r="H21" s="388"/>
      <c r="I21" s="388"/>
      <c r="J21" s="38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0">
        <v>43980</v>
      </c>
      <c r="E22" s="39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7"/>
      <c r="E23" s="42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9" t="s">
        <v>499</v>
      </c>
      <c r="E28" s="380"/>
      <c r="F28" s="15"/>
      <c r="G28" s="381"/>
      <c r="H28" s="382"/>
      <c r="I28" s="382"/>
      <c r="J28" s="383"/>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6"/>
      <c r="E32" s="397"/>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9"/>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6"/>
      <c r="I37" s="426"/>
      <c r="J37" s="426"/>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9" t="s">
        <v>498</v>
      </c>
      <c r="E39" s="380"/>
      <c r="F39" s="58"/>
      <c r="G39" s="381" t="s">
        <v>15513</v>
      </c>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9"/>
      <c r="E40" s="380"/>
      <c r="F40" s="58"/>
      <c r="G40" s="381"/>
      <c r="H40" s="382"/>
      <c r="I40" s="382"/>
      <c r="J40" s="383"/>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34.200000000000003" customHeight="1">
      <c r="A43" s="52"/>
      <c r="B43" s="55" t="str">
        <f ca="1">OFFSET(L!$C$1,MATCH("Declaration"&amp;ADDRESS(ROW(),COLUMN(),4),L!$A:$A,0)-1,SL,,)&amp;Q$37</f>
        <v>4) Do any of the smelters in your supply chain source the 3TG from conflict-affected and high-risk areas? (*)</v>
      </c>
      <c r="C43" s="13"/>
      <c r="D43" s="386" t="str">
        <f ca="1">D25</f>
        <v>Answer</v>
      </c>
      <c r="E43" s="386"/>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499</v>
      </c>
      <c r="E45" s="380"/>
      <c r="F45" s="58"/>
      <c r="G45" s="381"/>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9"/>
      <c r="E46" s="380"/>
      <c r="F46" s="58"/>
      <c r="G46" s="381"/>
      <c r="H46" s="382"/>
      <c r="I46" s="382"/>
      <c r="J46" s="383"/>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79" t="s">
        <v>499</v>
      </c>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9"/>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4"/>
      <c r="E56" s="385"/>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4">
        <v>1</v>
      </c>
      <c r="E57" s="385"/>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4"/>
      <c r="E58" s="385"/>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4"/>
      <c r="E59" s="385"/>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6" t="str">
        <f ca="1">D25</f>
        <v>Answer</v>
      </c>
      <c r="E61" s="386"/>
      <c r="F61" s="21"/>
      <c r="G61" s="55" t="str">
        <f ca="1">G25</f>
        <v>Comments</v>
      </c>
      <c r="H61" s="425"/>
      <c r="I61" s="425"/>
      <c r="J61" s="42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6"/>
      <c r="E62" s="397"/>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9" t="s">
        <v>498</v>
      </c>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9"/>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6" t="str">
        <f ca="1">D25</f>
        <v>Answer</v>
      </c>
      <c r="E67" s="386"/>
      <c r="F67" s="21"/>
      <c r="G67" s="55" t="str">
        <f ca="1">G25</f>
        <v>Comments</v>
      </c>
      <c r="H67" s="425" t="str">
        <f>IF(Q75="(*)","Click here to enter smelter names","")</f>
        <v/>
      </c>
      <c r="I67" s="425"/>
      <c r="J67" s="42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9"/>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9" t="str">
        <f ca="1">OFFSET(L!$C$1,MATCH("Declaration"&amp;ADDRESS(ROW(),COLUMN(),4),L!$A:$A,0)-1,SL,,)</f>
        <v>Answer the Following Questions at a Company Level</v>
      </c>
      <c r="C73" s="439"/>
      <c r="D73" s="439"/>
      <c r="E73" s="439"/>
      <c r="F73" s="439"/>
      <c r="G73" s="439"/>
      <c r="H73" s="439"/>
      <c r="I73" s="439"/>
      <c r="J73" s="43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9"/>
      <c r="H76" s="429"/>
      <c r="I76" s="429"/>
      <c r="J76" s="42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498</v>
      </c>
      <c r="E77" s="380"/>
      <c r="F77" s="68"/>
      <c r="G77" s="398" t="s">
        <v>15514</v>
      </c>
      <c r="H77" s="399"/>
      <c r="I77" s="399"/>
      <c r="J77" s="40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498</v>
      </c>
      <c r="E79" s="380"/>
      <c r="F79" s="68"/>
      <c r="G79" s="381"/>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15442</v>
      </c>
      <c r="E83" s="380"/>
      <c r="F83" s="68"/>
      <c r="G83" s="381"/>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6" t="s">
        <v>498</v>
      </c>
      <c r="E85" s="437"/>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9"/>
      <c r="H86" s="429"/>
      <c r="I86" s="429"/>
      <c r="J86" s="42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8"/>
      <c r="H88" s="438"/>
      <c r="I88" s="438"/>
      <c r="J88" s="43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5" t="str">
        <f>IF(OR($D$8="",$I$3=""),"","Click here to check required fields completion")</f>
        <v/>
      </c>
      <c r="C90" s="435"/>
      <c r="D90" s="435"/>
      <c r="E90" s="435"/>
      <c r="F90" s="435"/>
      <c r="G90" s="435"/>
      <c r="H90" s="435"/>
      <c r="I90" s="435"/>
      <c r="J90" s="43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3" t="str">
        <f ca="1">OFFSET(L!$C$1,MATCH("General"&amp;"Cpy",L!$A:$A,0)-1,SL,,)</f>
        <v>© 2020 Responsible Minerals Initiative. All rights reserved.</v>
      </c>
      <c r="B91" s="434"/>
      <c r="C91" s="434"/>
      <c r="D91" s="434"/>
      <c r="E91" s="434"/>
      <c r="F91" s="434"/>
      <c r="G91" s="434"/>
      <c r="H91" s="434"/>
      <c r="I91" s="434"/>
      <c r="J91" s="43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12" priority="63" stopIfTrue="1">
      <formula>AND(OR($D$26="No",AND($D$26="Yes",$D$32="No")),OR($D$27="No",AND($D$27="Yes",$D$33="No")),OR($D$28="No",AND($D$28="Yes",$D$34="No")),OR($D$29="No",AND($D$29="Yes",$D$35="No")))</formula>
    </cfRule>
    <cfRule type="expression" dxfId="111" priority="64" stopIfTrue="1">
      <formula>IF(D75="",TRUE)</formula>
    </cfRule>
  </conditionalFormatting>
  <conditionalFormatting sqref="G77:J77">
    <cfRule type="expression" dxfId="110" priority="35" stopIfTrue="1">
      <formula>IF(AND($D$77="Yes",$G$77=""),TRUE)</formula>
    </cfRule>
  </conditionalFormatting>
  <conditionalFormatting sqref="D26:E26">
    <cfRule type="expression" dxfId="109" priority="115" stopIfTrue="1">
      <formula>IF($D$26="",TRUE)</formula>
    </cfRule>
  </conditionalFormatting>
  <conditionalFormatting sqref="D27:E27">
    <cfRule type="expression" dxfId="108" priority="122" stopIfTrue="1">
      <formula>IF($D$27="",TRUE)</formula>
    </cfRule>
  </conditionalFormatting>
  <conditionalFormatting sqref="D28:E28">
    <cfRule type="expression" dxfId="107" priority="123" stopIfTrue="1">
      <formula>IF($D$28="",TRUE)</formula>
    </cfRule>
  </conditionalFormatting>
  <conditionalFormatting sqref="D29:E29">
    <cfRule type="expression" dxfId="106" priority="124" stopIfTrue="1">
      <formula>IF($D$29="",TRUE)</formula>
    </cfRule>
  </conditionalFormatting>
  <conditionalFormatting sqref="D8:J8">
    <cfRule type="expression" dxfId="105" priority="129" stopIfTrue="1">
      <formula>IF($D$8="",TRUE)</formula>
    </cfRule>
  </conditionalFormatting>
  <conditionalFormatting sqref="D9:G9">
    <cfRule type="expression" dxfId="104" priority="130" stopIfTrue="1">
      <formula>IF($D$9="",TRUE)</formula>
    </cfRule>
  </conditionalFormatting>
  <conditionalFormatting sqref="D15:J15">
    <cfRule type="expression" dxfId="103" priority="131" stopIfTrue="1">
      <formula>IF($D$15="",TRUE)</formula>
    </cfRule>
  </conditionalFormatting>
  <conditionalFormatting sqref="D16:J16">
    <cfRule type="expression" dxfId="102" priority="132" stopIfTrue="1">
      <formula>IF($D$16="",TRUE)</formula>
    </cfRule>
  </conditionalFormatting>
  <conditionalFormatting sqref="D17:J17">
    <cfRule type="expression" dxfId="101" priority="133" stopIfTrue="1">
      <formula>IF($D$17="",TRUE)</formula>
    </cfRule>
  </conditionalFormatting>
  <conditionalFormatting sqref="D18:J18">
    <cfRule type="expression" dxfId="100" priority="134" stopIfTrue="1">
      <formula>IF($D$18="",TRUE)</formula>
    </cfRule>
  </conditionalFormatting>
  <conditionalFormatting sqref="D22:E22">
    <cfRule type="expression" dxfId="99" priority="137" stopIfTrue="1">
      <formula>IF($D$22="",TRUE)</formula>
    </cfRule>
  </conditionalFormatting>
  <conditionalFormatting sqref="D10:J10">
    <cfRule type="expression" dxfId="98" priority="34" stopIfTrue="1">
      <formula>IF($D$9=$Q$9,TRUE)</formula>
    </cfRule>
    <cfRule type="expression" dxfId="97" priority="144" stopIfTrue="1">
      <formula>IF(AND($D$10="",$D$9=$R$9),TRUE)</formula>
    </cfRule>
  </conditionalFormatting>
  <conditionalFormatting sqref="D34:E34 D40:E40 D52:E52 D58:E58 D64:E64 D70:E70">
    <cfRule type="expression" dxfId="96" priority="27" stopIfTrue="1">
      <formula>$P$28=""</formula>
    </cfRule>
  </conditionalFormatting>
  <conditionalFormatting sqref="D35:E35 D41:E41 D53:E53 D59:E59 D65:E65 D71:E71">
    <cfRule type="expression" dxfId="95" priority="142" stopIfTrue="1">
      <formula>$P$29=""</formula>
    </cfRule>
  </conditionalFormatting>
  <conditionalFormatting sqref="D32:E32">
    <cfRule type="expression" dxfId="94" priority="120" stopIfTrue="1">
      <formula>$P$26=""</formula>
    </cfRule>
  </conditionalFormatting>
  <conditionalFormatting sqref="D32:E32">
    <cfRule type="expression" dxfId="93" priority="33" stopIfTrue="1">
      <formula>IF(AND(OR($D$26="Yes",$D$26=""),$D$32=""),1,0)</formula>
    </cfRule>
  </conditionalFormatting>
  <conditionalFormatting sqref="D38 D50 D56 D62 D68">
    <cfRule type="expression" dxfId="92" priority="29" stopIfTrue="1">
      <formula>$P$32=""</formula>
    </cfRule>
  </conditionalFormatting>
  <conditionalFormatting sqref="D39:E39 D51 D57 D63 D69">
    <cfRule type="expression" dxfId="91" priority="28" stopIfTrue="1">
      <formula>$P$33=""</formula>
    </cfRule>
  </conditionalFormatting>
  <conditionalFormatting sqref="D40 D52 D58 D64 D70">
    <cfRule type="expression" dxfId="90" priority="18" stopIfTrue="1">
      <formula>$P$34=""</formula>
    </cfRule>
    <cfRule type="expression" dxfId="89" priority="140" stopIfTrue="1">
      <formula>IF(AND(OR($D$28="Yes",$D$28=""),D40=""),1,0)</formula>
    </cfRule>
  </conditionalFormatting>
  <conditionalFormatting sqref="D41 D53 D59 D65 D71">
    <cfRule type="expression" dxfId="88" priority="26" stopIfTrue="1">
      <formula>$P$35=""</formula>
    </cfRule>
  </conditionalFormatting>
  <conditionalFormatting sqref="D38:E38 D50:E50 D56:E56 D62:E62 D68:E68">
    <cfRule type="expression" dxfId="87" priority="31" stopIfTrue="1">
      <formula>$P$26=""</formula>
    </cfRule>
    <cfRule type="expression" dxfId="86" priority="32" stopIfTrue="1">
      <formula>IF(AND(OR($D$26="Yes",$D$26=""),D38=""),1,0)</formula>
    </cfRule>
  </conditionalFormatting>
  <conditionalFormatting sqref="G85:J85">
    <cfRule type="expression" dxfId="85" priority="25" stopIfTrue="1">
      <formula>IF(AND($D$85="Yes, using other format (describe)",$G$85=""),TRUE)</formula>
    </cfRule>
  </conditionalFormatting>
  <conditionalFormatting sqref="D39:E39 D51:E51 D57:E57 D63:E63 D69:E69">
    <cfRule type="expression" dxfId="84" priority="138" stopIfTrue="1">
      <formula>$P$39=""</formula>
    </cfRule>
    <cfRule type="expression" dxfId="83" priority="139" stopIfTrue="1">
      <formula>IF(AND(OR($D$27="Yes",$D$27=""),D39=""),1,0)</formula>
    </cfRule>
  </conditionalFormatting>
  <conditionalFormatting sqref="D33:E33">
    <cfRule type="expression" dxfId="82" priority="20" stopIfTrue="1">
      <formula>IF(AND(OR($D$27="Yes",$D$27=""),$D$33=""),1,0)</formula>
    </cfRule>
    <cfRule type="expression" dxfId="81" priority="21" stopIfTrue="1">
      <formula>$P$27=""</formula>
    </cfRule>
  </conditionalFormatting>
  <conditionalFormatting sqref="D34:E34">
    <cfRule type="expression" dxfId="80" priority="141" stopIfTrue="1">
      <formula>IF(AND(OR($D$28="Yes",$D$28=""),$D$34=""),1,0)</formula>
    </cfRule>
  </conditionalFormatting>
  <conditionalFormatting sqref="D41:E41 D53:E53 D59:E59 D65:E65 D71:E71">
    <cfRule type="expression" dxfId="79" priority="143" stopIfTrue="1">
      <formula>IF(AND(OR($D$29="Yes",$D$29=""),D41=""),1,0)</formula>
    </cfRule>
  </conditionalFormatting>
  <conditionalFormatting sqref="D35:E35">
    <cfRule type="expression" dxfId="78" priority="17" stopIfTrue="1">
      <formula>IF(AND(OR($D$29="Yes",$D$29=""),$D$35=""),1,0)</formula>
    </cfRule>
  </conditionalFormatting>
  <conditionalFormatting sqref="D20:J20">
    <cfRule type="expression" dxfId="77" priority="13" stopIfTrue="1">
      <formula>IF($D$20="",TRUE)</formula>
    </cfRule>
  </conditionalFormatting>
  <conditionalFormatting sqref="D46:E46">
    <cfRule type="expression" dxfId="76" priority="3" stopIfTrue="1">
      <formula>$P$28=""</formula>
    </cfRule>
  </conditionalFormatting>
  <conditionalFormatting sqref="D47:E47">
    <cfRule type="expression" dxfId="75" priority="11" stopIfTrue="1">
      <formula>$P$29=""</formula>
    </cfRule>
  </conditionalFormatting>
  <conditionalFormatting sqref="D44">
    <cfRule type="expression" dxfId="74" priority="5" stopIfTrue="1">
      <formula>$P$32=""</formula>
    </cfRule>
  </conditionalFormatting>
  <conditionalFormatting sqref="D45">
    <cfRule type="expression" dxfId="73" priority="4" stopIfTrue="1">
      <formula>$P$33=""</formula>
    </cfRule>
  </conditionalFormatting>
  <conditionalFormatting sqref="D46">
    <cfRule type="expression" dxfId="72" priority="1" stopIfTrue="1">
      <formula>$P$34=""</formula>
    </cfRule>
    <cfRule type="expression" dxfId="71" priority="10" stopIfTrue="1">
      <formula>IF(AND(OR($D$28="Yes",$D$28=""),D46=""),1,0)</formula>
    </cfRule>
  </conditionalFormatting>
  <conditionalFormatting sqref="D47">
    <cfRule type="expression" dxfId="70" priority="2" stopIfTrue="1">
      <formula>$P$35=""</formula>
    </cfRule>
  </conditionalFormatting>
  <conditionalFormatting sqref="D44:E44">
    <cfRule type="expression" dxfId="69" priority="6" stopIfTrue="1">
      <formula>$P$26=""</formula>
    </cfRule>
    <cfRule type="expression" dxfId="68" priority="7" stopIfTrue="1">
      <formula>IF(AND(OR($D$26="Yes",$D$26=""),D44=""),1,0)</formula>
    </cfRule>
  </conditionalFormatting>
  <conditionalFormatting sqref="D45:E45">
    <cfRule type="expression" dxfId="67" priority="8" stopIfTrue="1">
      <formula>$P$39=""</formula>
    </cfRule>
    <cfRule type="expression" dxfId="66" priority="9" stopIfTrue="1">
      <formula>IF(AND(OR($D$27="Yes",$D$27=""),D45=""),1,0)</formula>
    </cfRule>
  </conditionalFormatting>
  <conditionalFormatting sqref="D47:E47">
    <cfRule type="expression" dxfId="65"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52B6EE5-4528-44DC-A075-FE0276D3584E}"/>
    <hyperlink ref="D20" r:id="rId4" xr:uid="{0F952ADA-9F51-49B7-B6B6-5DF647BA9EFF}"/>
    <hyperlink ref="G77" r:id="rId5" xr:uid="{CFD6D5EB-5E03-494C-AC2E-B52C90FE7E6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E10" sqref="E10"/>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45.6"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217" t="s">
        <v>794</v>
      </c>
      <c r="B5" s="217" t="str">
        <f ca="1">IF(LEN(A5)=0,"",INDEX('Smelter Look-up'!$A:$A,MATCH($A5,'Smelter Look-up'!$E:$E,0)))</f>
        <v>Tin</v>
      </c>
      <c r="C5" s="221" t="str">
        <f ca="1">IF(LEN(A5)=0,"",INDEX('Smelter Look-up'!$C:$C,MATCH($A5,'Smelter Look-up'!$E:$E,0)))</f>
        <v>Minsur</v>
      </c>
      <c r="D5" s="283" t="s">
        <v>1057</v>
      </c>
      <c r="E5" s="217" t="str">
        <f ca="1">IF(ISERROR($V5),"",OFFSET('Smelter Look-up'!$D$4,$V5-4,0)&amp;"")</f>
        <v>PERU</v>
      </c>
      <c r="F5" s="217" t="str">
        <f ca="1">IF(ISERROR($V5),"",OFFSET('Smelter Look-up'!$E$4,$V5-4,0))</f>
        <v>CID001182</v>
      </c>
      <c r="G5" s="217" t="str">
        <f ca="1">IF(C5=$X$4,"Enter smelter details",IF(ISERROR($V5),"",OFFSET('Smelter Look-up'!$F$4,$V5-4,0)))</f>
        <v>RMI</v>
      </c>
      <c r="H5" s="218">
        <f ca="1">IF(ISERROR($V5),"",OFFSET('Smelter Look-up'!$G$4,$V5-4,0))</f>
        <v>0</v>
      </c>
      <c r="I5" s="219" t="str">
        <f ca="1">IF(ISERROR($V5),"",OFFSET('Smelter Look-up'!$H$4,$V5-4,0))</f>
        <v>Paracas</v>
      </c>
      <c r="J5" s="219" t="str">
        <f ca="1">IF(ISERROR($V5),"",OFFSET('Smelter Look-up'!$I$4,$V5-4,0))</f>
        <v>Ika</v>
      </c>
      <c r="K5" s="273"/>
      <c r="L5" s="273"/>
      <c r="M5" s="273"/>
      <c r="N5" s="273"/>
      <c r="O5" s="273"/>
      <c r="P5" s="220"/>
      <c r="Q5" s="274"/>
      <c r="R5" s="217" t="str">
        <f ca="1">IF(ISERROR($V5),"",OFFSET('Smelter Look-up'!$C$4,$V5-4,0)&amp;"")</f>
        <v>Minsur</v>
      </c>
      <c r="S5" s="225" t="str">
        <f t="shared" ref="S5" ca="1" si="0">IF(B5="","",IF(ISERROR(MATCH($E5,CL,0)),"Unknown",INDIRECT("'C'!$A$"&amp;MATCH($E5,CL,0)+1)))</f>
        <v>PE</v>
      </c>
      <c r="T5" s="225" t="str">
        <f ca="1">IF(B5="","",IF(ISERROR(MATCH($J5,SorP!$B$1:$B$6230,0)),"",INDIRECT("'SorP'!$A$"&amp;MATCH($J5,SorP!$B$1:$B$6230,0))))</f>
        <v>PE-ICA</v>
      </c>
      <c r="U5" s="241"/>
      <c r="V5" s="275">
        <f ca="1">IF(C5="",NA(),MATCH($B5&amp;$C5,'Smelter Look-up'!$J:$J,0))</f>
        <v>424</v>
      </c>
      <c r="W5" s="276"/>
      <c r="X5" s="276">
        <f t="shared" ref="X5" ca="1" si="1">IF(AND(C5="Smelter not listed",OR(LEN(D5)=0,LEN(E5)=0)),1,0)</f>
        <v>0</v>
      </c>
      <c r="Y5" s="276"/>
      <c r="Z5" s="276"/>
      <c r="AB5" s="278" t="str">
        <f t="shared" ref="AB5" ca="1" si="2">B5&amp;C5</f>
        <v>TinMinsur</v>
      </c>
    </row>
    <row r="6" spans="1:34" s="277" customFormat="1" ht="19.95" customHeight="1">
      <c r="A6" s="332" t="s">
        <v>798</v>
      </c>
      <c r="B6" s="217" t="str">
        <f ca="1">IF(LEN(A6)=0,"",INDEX('Smelter Look-up'!$A:$A,MATCH($A6,'Smelter Look-up'!$E:$E,0)))</f>
        <v>Tin</v>
      </c>
      <c r="C6" s="221" t="str">
        <f ca="1">IF(LEN(A6)=0,"",INDEX('Smelter Look-up'!$C:$C,MATCH($A6,'Smelter Look-up'!$E:$E,0)))</f>
        <v>Operaciones Metalurgicas S.A.</v>
      </c>
      <c r="D6" s="283" t="s">
        <v>15528</v>
      </c>
      <c r="E6" s="217" t="str">
        <f ca="1">IF(ISERROR($V6),"",OFFSET('Smelter Look-up'!$D$4,$V6-4,0)&amp;"")</f>
        <v>BOLIVIA (PLURINATIONAL STATE OF)</v>
      </c>
      <c r="F6" s="217" t="str">
        <f ca="1">IF(ISERROR($V6),"",OFFSET('Smelter Look-up'!$E$4,$V6-4,0))</f>
        <v>CID001337</v>
      </c>
      <c r="G6" s="217" t="str">
        <f ca="1">IF(C6=$X$4,"Enter smelter details",IF(ISERROR($V6),"",OFFSET('Smelter Look-up'!$F$4,$V6-4,0)))</f>
        <v>RMI</v>
      </c>
      <c r="H6" s="218">
        <f ca="1">IF(ISERROR($V6),"",OFFSET('Smelter Look-up'!$G$4,$V6-4,0))</f>
        <v>0</v>
      </c>
      <c r="I6" s="219" t="str">
        <f ca="1">IF(ISERROR($V6),"",OFFSET('Smelter Look-up'!$H$4,$V6-4,0))</f>
        <v>Oruro</v>
      </c>
      <c r="J6" s="219" t="str">
        <f ca="1">IF(ISERROR($V6),"",OFFSET('Smelter Look-up'!$I$4,$V6-4,0))</f>
        <v>Oruro</v>
      </c>
      <c r="K6" s="273"/>
      <c r="L6" s="273"/>
      <c r="M6" s="273"/>
      <c r="N6" s="273"/>
      <c r="O6" s="273"/>
      <c r="P6" s="220"/>
      <c r="Q6" s="274"/>
      <c r="R6" s="217" t="str">
        <f ca="1">IF(ISERROR($V6),"",OFFSET('Smelter Look-up'!$C$4,$V6-4,0)&amp;"")</f>
        <v>Operaciones Metalurgicas S.A.</v>
      </c>
      <c r="S6" s="225" t="str">
        <f t="shared" ref="S6:S37" ca="1" si="3">IF(B6="","",IF(ISERROR(MATCH($E6,CL,0)),"Unknown",INDIRECT("'C'!$A$"&amp;MATCH($E6,CL,0)+1)))</f>
        <v>BO</v>
      </c>
      <c r="T6" s="225" t="str">
        <f ca="1">IF(B6="","",IF(ISERROR(MATCH($J6,SorP!$B$1:$B$6230,0)),"",INDIRECT("'SorP'!$A$"&amp;MATCH($J6,SorP!$B$1:$B$6230,0))))</f>
        <v>BO-O</v>
      </c>
      <c r="U6" s="241"/>
      <c r="V6" s="275">
        <f ca="1">IF(C6="",NA(),MATCH($B6&amp;$C6,'Smelter Look-up'!$J:$J,0))</f>
        <v>434</v>
      </c>
      <c r="W6" s="276"/>
      <c r="X6" s="276">
        <f t="shared" ref="X6:X37" ca="1" si="4">IF(AND(C6="Smelter not listed",OR(LEN(D6)=0,LEN(E6)=0)),1,0)</f>
        <v>0</v>
      </c>
      <c r="Y6" s="276"/>
      <c r="Z6" s="276"/>
      <c r="AB6" s="278" t="str">
        <f t="shared" ref="AB6:AB37" ca="1" si="5">B6&amp;C6</f>
        <v>TinOperaciones Metalurgicas S.A.</v>
      </c>
    </row>
    <row r="7" spans="1:34" s="277" customFormat="1" ht="19.95" customHeight="1">
      <c r="A7" s="332" t="s">
        <v>791</v>
      </c>
      <c r="B7" s="217" t="str">
        <f ca="1">IF(LEN(A7)=0,"",INDEX('Smelter Look-up'!$A:$A,MATCH($A7,'Smelter Look-up'!$E:$E,0)))</f>
        <v>Tin</v>
      </c>
      <c r="C7" s="221" t="str">
        <f ca="1">IF(LEN(A7)=0,"",INDEX('Smelter Look-up'!$C:$C,MATCH($A7,'Smelter Look-up'!$E:$E,0)))</f>
        <v>China Tin Group Co., Ltd.</v>
      </c>
      <c r="D7" s="283" t="s">
        <v>1350</v>
      </c>
      <c r="E7" s="217" t="str">
        <f ca="1">IF(ISERROR($V7),"",OFFSET('Smelter Look-up'!$D$4,$V7-4,0)&amp;"")</f>
        <v>CHINA</v>
      </c>
      <c r="F7" s="217" t="str">
        <f ca="1">IF(ISERROR($V7),"",OFFSET('Smelter Look-up'!$E$4,$V7-4,0))</f>
        <v>CID001070</v>
      </c>
      <c r="G7" s="217" t="str">
        <f ca="1">IF(C7=$X$4,"Enter smelter details",IF(ISERROR($V7),"",OFFSET('Smelter Look-up'!$F$4,$V7-4,0)))</f>
        <v>RMI</v>
      </c>
      <c r="H7" s="218">
        <f ca="1">IF(ISERROR($V7),"",OFFSET('Smelter Look-up'!$G$4,$V7-4,0))</f>
        <v>0</v>
      </c>
      <c r="I7" s="219" t="str">
        <f ca="1">IF(ISERROR($V7),"",OFFSET('Smelter Look-up'!$H$4,$V7-4,0))</f>
        <v>Laibin</v>
      </c>
      <c r="J7" s="219" t="str">
        <f ca="1">IF(ISERROR($V7),"",OFFSET('Smelter Look-up'!$I$4,$V7-4,0))</f>
        <v>Guangxi Zhuangzu Zizhiqu</v>
      </c>
      <c r="K7" s="273"/>
      <c r="L7" s="273"/>
      <c r="M7" s="273"/>
      <c r="N7" s="273"/>
      <c r="O7" s="273"/>
      <c r="P7" s="220"/>
      <c r="Q7" s="274"/>
      <c r="R7" s="217" t="str">
        <f ca="1">IF(ISERROR($V7),"",OFFSET('Smelter Look-up'!$C$4,$V7-4,0)&amp;"")</f>
        <v>China Tin Group Co., Ltd.</v>
      </c>
      <c r="S7" s="225" t="str">
        <f t="shared" ca="1" si="3"/>
        <v>CN</v>
      </c>
      <c r="T7" s="225" t="str">
        <f ca="1">IF(B7="","",IF(ISERROR(MATCH($J7,SorP!$B$1:$B$6230,0)),"",INDIRECT("'SorP'!$A$"&amp;MATCH($J7,SorP!$B$1:$B$6230,0))))</f>
        <v>CN-GX</v>
      </c>
      <c r="U7" s="241"/>
      <c r="V7" s="275">
        <f ca="1">IF(C7="",NA(),MATCH($B7&amp;$C7,'Smelter Look-up'!$J:$J,0))</f>
        <v>367</v>
      </c>
      <c r="W7" s="276"/>
      <c r="X7" s="276">
        <f t="shared" ca="1" si="4"/>
        <v>0</v>
      </c>
      <c r="Y7" s="276"/>
      <c r="Z7" s="276"/>
      <c r="AB7" s="278" t="str">
        <f t="shared" ca="1" si="5"/>
        <v>TinChina Tin Group Co., Ltd.</v>
      </c>
    </row>
    <row r="8" spans="1:34" s="277" customFormat="1" ht="19.95" customHeight="1">
      <c r="A8" s="332" t="s">
        <v>802</v>
      </c>
      <c r="B8" s="217" t="str">
        <f ca="1">IF(LEN(A8)=0,"",INDEX('Smelter Look-up'!$A:$A,MATCH($A8,'Smelter Look-up'!$E:$E,0)))</f>
        <v>Tin</v>
      </c>
      <c r="C8" s="221" t="str">
        <f ca="1">IF(LEN(A8)=0,"",INDEX('Smelter Look-up'!$C:$C,MATCH($A8,'Smelter Look-up'!$E:$E,0)))</f>
        <v>PT Timah Tbk Mentok</v>
      </c>
      <c r="D8" s="283" t="s">
        <v>14151</v>
      </c>
      <c r="E8" s="217" t="str">
        <f ca="1">IF(ISERROR($V8),"",OFFSET('Smelter Look-up'!$D$4,$V8-4,0)&amp;"")</f>
        <v>INDONESIA</v>
      </c>
      <c r="F8" s="217" t="str">
        <f ca="1">IF(ISERROR($V8),"",OFFSET('Smelter Look-up'!$E$4,$V8-4,0))</f>
        <v>CID001482</v>
      </c>
      <c r="G8" s="217" t="str">
        <f ca="1">IF(C8=$X$4,"Enter smelter details",IF(ISERROR($V8),"",OFFSET('Smelter Look-up'!$F$4,$V8-4,0)))</f>
        <v>RMI</v>
      </c>
      <c r="H8" s="218">
        <f ca="1">IF(ISERROR($V8),"",OFFSET('Smelter Look-up'!$G$4,$V8-4,0))</f>
        <v>0</v>
      </c>
      <c r="I8" s="219" t="str">
        <f ca="1">IF(ISERROR($V8),"",OFFSET('Smelter Look-up'!$H$4,$V8-4,0))</f>
        <v>Mentok</v>
      </c>
      <c r="J8" s="219" t="str">
        <f ca="1">IF(ISERROR($V8),"",OFFSET('Smelter Look-up'!$I$4,$V8-4,0))</f>
        <v>Kepulauan Bangka Belitung</v>
      </c>
      <c r="K8" s="273"/>
      <c r="L8" s="273"/>
      <c r="M8" s="273"/>
      <c r="N8" s="273"/>
      <c r="O8" s="273"/>
      <c r="P8" s="220"/>
      <c r="Q8" s="274"/>
      <c r="R8" s="217" t="str">
        <f ca="1">IF(ISERROR($V8),"",OFFSET('Smelter Look-up'!$C$4,$V8-4,0)&amp;"")</f>
        <v>PT Timah Tbk Mentok</v>
      </c>
      <c r="S8" s="225" t="str">
        <f t="shared" ca="1" si="3"/>
        <v>ID</v>
      </c>
      <c r="T8" s="225" t="str">
        <f ca="1">IF(B8="","",IF(ISERROR(MATCH($J8,SorP!$B$1:$B$6230,0)),"",INDIRECT("'SorP'!$A$"&amp;MATCH($J8,SorP!$B$1:$B$6230,0))))</f>
        <v>ID-BB</v>
      </c>
      <c r="U8" s="241"/>
      <c r="V8" s="275">
        <f ca="1">IF(C8="",NA(),MATCH($B8&amp;$C8,'Smelter Look-up'!$J:$J,0))</f>
        <v>446</v>
      </c>
      <c r="W8" s="276"/>
      <c r="X8" s="276">
        <f t="shared" ca="1" si="4"/>
        <v>0</v>
      </c>
      <c r="Y8" s="276"/>
      <c r="Z8" s="276"/>
      <c r="AB8" s="278" t="str">
        <f t="shared" ca="1" si="5"/>
        <v>TinPT Timah Tbk Mentok</v>
      </c>
    </row>
    <row r="9" spans="1:34" s="277" customFormat="1" ht="19.95" customHeight="1">
      <c r="A9" s="332" t="s">
        <v>2678</v>
      </c>
      <c r="B9" s="217" t="str">
        <f ca="1">IF(LEN(A9)=0,"",INDEX('Smelter Look-up'!$A:$A,MATCH($A9,'Smelter Look-up'!$E:$E,0)))</f>
        <v>Tin</v>
      </c>
      <c r="C9" s="221" t="str">
        <f ca="1">IF(LEN(A9)=0,"",INDEX('Smelter Look-up'!$C:$C,MATCH($A9,'Smelter Look-up'!$E:$E,0)))</f>
        <v>Guangdong Hanhe Non-Ferrous Metal Co., Ltd.</v>
      </c>
      <c r="D9" s="283" t="s">
        <v>2677</v>
      </c>
      <c r="E9" s="217" t="str">
        <f ca="1">IF(ISERROR($V9),"",OFFSET('Smelter Look-up'!$D$4,$V9-4,0)&amp;"")</f>
        <v>CHINA</v>
      </c>
      <c r="F9" s="217" t="str">
        <f ca="1">IF(ISERROR($V9),"",OFFSET('Smelter Look-up'!$E$4,$V9-4,0))</f>
        <v>CID003116</v>
      </c>
      <c r="G9" s="217" t="str">
        <f ca="1">IF(C9=$X$4,"Enter smelter details",IF(ISERROR($V9),"",OFFSET('Smelter Look-up'!$F$4,$V9-4,0)))</f>
        <v>RMI</v>
      </c>
      <c r="H9" s="218">
        <f ca="1">IF(ISERROR($V9),"",OFFSET('Smelter Look-up'!$G$4,$V9-4,0))</f>
        <v>0</v>
      </c>
      <c r="I9" s="219" t="str">
        <f ca="1">IF(ISERROR($V9),"",OFFSET('Smelter Look-up'!$H$4,$V9-4,0))</f>
        <v>Chaozhou</v>
      </c>
      <c r="J9" s="219" t="str">
        <f ca="1">IF(ISERROR($V9),"",OFFSET('Smelter Look-up'!$I$4,$V9-4,0))</f>
        <v>Guangdong Sheng</v>
      </c>
      <c r="K9" s="273"/>
      <c r="L9" s="273"/>
      <c r="M9" s="273"/>
      <c r="N9" s="273"/>
      <c r="O9" s="273"/>
      <c r="P9" s="220"/>
      <c r="Q9" s="274"/>
      <c r="R9" s="217" t="str">
        <f ca="1">IF(ISERROR($V9),"",OFFSET('Smelter Look-up'!$C$4,$V9-4,0)&amp;"")</f>
        <v>Guangdong Hanhe Non-Ferrous Metal Co., Ltd.</v>
      </c>
      <c r="S9" s="225" t="str">
        <f t="shared" ca="1" si="3"/>
        <v>CN</v>
      </c>
      <c r="T9" s="225" t="str">
        <f ca="1">IF(B9="","",IF(ISERROR(MATCH($J9,SorP!$B$1:$B$6230,0)),"",INDIRECT("'SorP'!$A$"&amp;MATCH($J9,SorP!$B$1:$B$6230,0))))</f>
        <v>CN-GD</v>
      </c>
      <c r="U9" s="241"/>
      <c r="V9" s="275">
        <f ca="1">IF(C9="",NA(),MATCH($B9&amp;$C9,'Smelter Look-up'!$J:$J,0))</f>
        <v>395</v>
      </c>
      <c r="W9" s="276"/>
      <c r="X9" s="276">
        <f t="shared" ca="1" si="4"/>
        <v>0</v>
      </c>
      <c r="Y9" s="276"/>
      <c r="Z9" s="276"/>
      <c r="AB9" s="278" t="str">
        <f t="shared" ca="1" si="5"/>
        <v>TinGuangdong Hanhe Non-Ferrous Metal Co., Ltd.</v>
      </c>
    </row>
    <row r="10" spans="1:34" s="277" customFormat="1" ht="19.95" customHeight="1">
      <c r="A10" s="332" t="s">
        <v>806</v>
      </c>
      <c r="B10" s="217" t="str">
        <f ca="1">IF(LEN(A10)=0,"",INDEX('Smelter Look-up'!$A:$A,MATCH($A10,'Smelter Look-up'!$E:$E,0)))</f>
        <v>Tin</v>
      </c>
      <c r="C10" s="221" t="str">
        <f ca="1">IF(LEN(A10)=0,"",INDEX('Smelter Look-up'!$C:$C,MATCH($A10,'Smelter Look-up'!$E:$E,0)))</f>
        <v>Thaisarco</v>
      </c>
      <c r="D10" s="283" t="s">
        <v>1054</v>
      </c>
      <c r="E10" s="217" t="str">
        <f ca="1">IF(ISERROR($V10),"",OFFSET('Smelter Look-up'!$D$4,$V10-4,0)&amp;"")</f>
        <v>THAILAND</v>
      </c>
      <c r="F10" s="217" t="str">
        <f ca="1">IF(ISERROR($V10),"",OFFSET('Smelter Look-up'!$E$4,$V10-4,0))</f>
        <v>CID001898</v>
      </c>
      <c r="G10" s="217" t="str">
        <f ca="1">IF(C10=$X$4,"Enter smelter details",IF(ISERROR($V10),"",OFFSET('Smelter Look-up'!$F$4,$V10-4,0)))</f>
        <v>RMI</v>
      </c>
      <c r="H10" s="218">
        <f ca="1">IF(ISERROR($V10),"",OFFSET('Smelter Look-up'!$G$4,$V10-4,0))</f>
        <v>0</v>
      </c>
      <c r="I10" s="219" t="str">
        <f ca="1">IF(ISERROR($V10),"",OFFSET('Smelter Look-up'!$H$4,$V10-4,0))</f>
        <v>Amphur Muang</v>
      </c>
      <c r="J10" s="219" t="str">
        <f ca="1">IF(ISERROR($V10),"",OFFSET('Smelter Look-up'!$I$4,$V10-4,0))</f>
        <v>Phuket</v>
      </c>
      <c r="K10" s="273"/>
      <c r="L10" s="273"/>
      <c r="M10" s="273"/>
      <c r="N10" s="273"/>
      <c r="O10" s="273"/>
      <c r="P10" s="220"/>
      <c r="Q10" s="274"/>
      <c r="R10" s="217" t="str">
        <f ca="1">IF(ISERROR($V10),"",OFFSET('Smelter Look-up'!$C$4,$V10-4,0)&amp;"")</f>
        <v>Thaisarco</v>
      </c>
      <c r="S10" s="225" t="str">
        <f t="shared" ca="1" si="3"/>
        <v>TH</v>
      </c>
      <c r="T10" s="225" t="str">
        <f ca="1">IF(B10="","",IF(ISERROR(MATCH($J10,SorP!$B$1:$B$6230,0)),"",INDIRECT("'SorP'!$A$"&amp;MATCH($J10,SorP!$B$1:$B$6230,0))))</f>
        <v>TH-83</v>
      </c>
      <c r="U10" s="241"/>
      <c r="V10" s="275">
        <f ca="1">IF(C10="",NA(),MATCH($B10&amp;$C10,'Smelter Look-up'!$J:$J,0))</f>
        <v>458</v>
      </c>
      <c r="W10" s="276"/>
      <c r="X10" s="276">
        <f t="shared" ca="1" si="4"/>
        <v>0</v>
      </c>
      <c r="Y10" s="276"/>
      <c r="Z10" s="276"/>
      <c r="AB10" s="278" t="str">
        <f t="shared" ca="1" si="5"/>
        <v>TinThaisarco</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5.2">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50.4">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5.2">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50.4">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50.4">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88.2">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4" priority="39" stopIfTrue="1">
      <formula>IF(B586="",TRUE)</formula>
    </cfRule>
    <cfRule type="expression" dxfId="63" priority="50" stopIfTrue="1">
      <formula>IF(AND(COUNTIF(MetalSmelter,B586&amp;C586)=0,LEN(C586)&gt;0),TRUE,FALSE)</formula>
    </cfRule>
  </conditionalFormatting>
  <conditionalFormatting sqref="D586:D2504">
    <cfRule type="expression" dxfId="62" priority="33" stopIfTrue="1">
      <formula>IF(AND(LEN($C586)&gt;0,($C586&lt;&gt;"Smelter Not Listed")),1,0)</formula>
    </cfRule>
    <cfRule type="expression" dxfId="61" priority="58" stopIfTrue="1">
      <formula>IF(AND(D586="",$C586=$X$4),TRUE)</formula>
    </cfRule>
    <cfRule type="expression" dxfId="60" priority="59" stopIfTrue="1">
      <formula>IF(FIND("!",D586),TRUE)</formula>
    </cfRule>
  </conditionalFormatting>
  <conditionalFormatting sqref="G586:G2504">
    <cfRule type="expression" dxfId="59" priority="60" stopIfTrue="1">
      <formula>IF(FIND("Enter smelter details",G586),TRUE)</formula>
    </cfRule>
  </conditionalFormatting>
  <conditionalFormatting sqref="R586:R2505 E586:E2504">
    <cfRule type="expression" dxfId="58" priority="46" stopIfTrue="1">
      <formula>IF(AND(E586="",$C586=$X$4),TRUE)</formula>
    </cfRule>
    <cfRule type="expression" dxfId="57" priority="47" stopIfTrue="1">
      <formula>IF(FIND("!",E586),TRUE)</formula>
    </cfRule>
  </conditionalFormatting>
  <conditionalFormatting sqref="F586:F2504">
    <cfRule type="expression" dxfId="56" priority="37" stopIfTrue="1">
      <formula>IF(AND(LEN($A586)&gt;0,$A586&lt;&gt;$F586),TRUE,FALSE)</formula>
    </cfRule>
  </conditionalFormatting>
  <conditionalFormatting sqref="C586:C2504">
    <cfRule type="expression" dxfId="55" priority="36" stopIfTrue="1">
      <formula>IF(AND(B586&lt;&gt;"",C586=""),TRUE)</formula>
    </cfRule>
  </conditionalFormatting>
  <conditionalFormatting sqref="B21:B585 B5:B19">
    <cfRule type="expression" dxfId="54" priority="15" stopIfTrue="1">
      <formula>IF(B5="",TRUE)</formula>
    </cfRule>
    <cfRule type="expression" dxfId="53" priority="18" stopIfTrue="1">
      <formula>IF(AND(COUNTIF(MetalSmelter,B5&amp;C5)=0,LEN(C5)&gt;0),TRUE,FALSE)</formula>
    </cfRule>
  </conditionalFormatting>
  <conditionalFormatting sqref="D5:D19 D21:D585">
    <cfRule type="expression" dxfId="52" priority="12" stopIfTrue="1">
      <formula>IF(AND(LEN($C5)&gt;0,($C5&lt;&gt;"Smelter Not Listed")),1,0)</formula>
    </cfRule>
    <cfRule type="expression" dxfId="51" priority="19" stopIfTrue="1">
      <formula>IF(AND(D5="",$C5=$X$4),TRUE)</formula>
    </cfRule>
    <cfRule type="expression" dxfId="50" priority="20" stopIfTrue="1">
      <formula>IF(FIND("!",D5),TRUE)</formula>
    </cfRule>
  </conditionalFormatting>
  <conditionalFormatting sqref="G5:G19 G21:G585">
    <cfRule type="expression" dxfId="49" priority="21" stopIfTrue="1">
      <formula>IF(FIND("Enter smelter details",G5),TRUE)</formula>
    </cfRule>
  </conditionalFormatting>
  <conditionalFormatting sqref="R5:R585 E5:E19 E21:E585">
    <cfRule type="expression" dxfId="48" priority="16" stopIfTrue="1">
      <formula>IF(AND(E5="",$C5=$X$4),TRUE)</formula>
    </cfRule>
    <cfRule type="expression" dxfId="47" priority="17" stopIfTrue="1">
      <formula>IF(FIND("!",E5),TRUE)</formula>
    </cfRule>
  </conditionalFormatting>
  <conditionalFormatting sqref="F5:F19 F21:F585">
    <cfRule type="expression" dxfId="46" priority="14" stopIfTrue="1">
      <formula>IF(AND(LEN($A5)&gt;0,$A5&lt;&gt;$F5),TRUE,FALSE)</formula>
    </cfRule>
  </conditionalFormatting>
  <conditionalFormatting sqref="C21:C585 C5:C19">
    <cfRule type="expression" dxfId="45" priority="13" stopIfTrue="1">
      <formula>IF(AND(B5&lt;&gt;"",C5=""),TRUE)</formula>
    </cfRule>
  </conditionalFormatting>
  <conditionalFormatting sqref="B20">
    <cfRule type="expression" dxfId="44" priority="5" stopIfTrue="1">
      <formula>IF(B20="",TRUE)</formula>
    </cfRule>
    <cfRule type="expression" dxfId="43" priority="8" stopIfTrue="1">
      <formula>IF(AND(COUNTIF(MetalSmelter,B20&amp;C20)=0,LEN(C20)&gt;0),TRUE,FALSE)</formula>
    </cfRule>
  </conditionalFormatting>
  <conditionalFormatting sqref="D20">
    <cfRule type="expression" dxfId="42" priority="2" stopIfTrue="1">
      <formula>IF(AND(LEN($C20)&gt;0,($C20&lt;&gt;"Smelter Not Listed")),1,0)</formula>
    </cfRule>
    <cfRule type="expression" dxfId="41" priority="9" stopIfTrue="1">
      <formula>IF(AND(D20="",$C20=$X$4),TRUE)</formula>
    </cfRule>
    <cfRule type="expression" dxfId="40" priority="10" stopIfTrue="1">
      <formula>IF(FIND("!",D20),TRUE)</formula>
    </cfRule>
  </conditionalFormatting>
  <conditionalFormatting sqref="G20">
    <cfRule type="expression" dxfId="39" priority="11" stopIfTrue="1">
      <formula>IF(FIND("Enter smelter details",G20),TRUE)</formula>
    </cfRule>
  </conditionalFormatting>
  <conditionalFormatting sqref="E20">
    <cfRule type="expression" dxfId="38" priority="6" stopIfTrue="1">
      <formula>IF(AND(E20="",$C20=$X$4),TRUE)</formula>
    </cfRule>
    <cfRule type="expression" dxfId="37" priority="7" stopIfTrue="1">
      <formula>IF(FIND("!",E20),TRUE)</formula>
    </cfRule>
  </conditionalFormatting>
  <conditionalFormatting sqref="F20">
    <cfRule type="expression" dxfId="36" priority="4" stopIfTrue="1">
      <formula>IF(AND(LEN($A20)&gt;0,$A20&lt;&gt;$F20),TRUE,FALSE)</formula>
    </cfRule>
  </conditionalFormatting>
  <conditionalFormatting sqref="C20">
    <cfRule type="expression" dxfId="35" priority="3" stopIfTrue="1">
      <formula>IF(AND(B20&lt;&gt;"",C20=""),TRUE)</formula>
    </cfRule>
  </conditionalFormatting>
  <conditionalFormatting sqref="A5">
    <cfRule type="expression" dxfId="0"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23" sqref="A23"/>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Florida Cirtech</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Sven Bock</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sbock@fctcompanies.com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970-346-8002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Sven Bock</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sbock@fctcompanies.com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43980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https://floridacirtech.com/quality</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4" priority="358" stopIfTrue="1">
      <formula>$H$56=0</formula>
    </cfRule>
  </conditionalFormatting>
  <conditionalFormatting sqref="B66">
    <cfRule type="expression" dxfId="33" priority="39" stopIfTrue="1">
      <formula>IF(F66=0,TRUE)</formula>
    </cfRule>
  </conditionalFormatting>
  <conditionalFormatting sqref="B67">
    <cfRule type="expression" dxfId="32" priority="35" stopIfTrue="1">
      <formula>IF(F67=0,TRUE)</formula>
    </cfRule>
  </conditionalFormatting>
  <conditionalFormatting sqref="B68:B69">
    <cfRule type="expression" dxfId="31" priority="31" stopIfTrue="1">
      <formula>IF(F68=0,TRUE)</formula>
    </cfRule>
  </conditionalFormatting>
  <conditionalFormatting sqref="C69">
    <cfRule type="expression" dxfId="30" priority="13" stopIfTrue="1">
      <formula>C69="Not Required"</formula>
    </cfRule>
    <cfRule type="expression" dxfId="29" priority="21" stopIfTrue="1">
      <formula>OR(C69="Complete",C69="填写",C69="記入",C69="완료",C69="Complétez",C69="Concluído",C69="Vollständig",C69="Completare",C69="Doldurun")</formula>
    </cfRule>
  </conditionalFormatting>
  <conditionalFormatting sqref="A69">
    <cfRule type="expression" dxfId="28" priority="14" stopIfTrue="1">
      <formula>C69="Not Required"</formula>
    </cfRule>
    <cfRule type="expression" dxfId="27"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6" priority="347" stopIfTrue="1">
      <formula>$F4=0</formula>
    </cfRule>
    <cfRule type="expression" dxfId="25" priority="348" stopIfTrue="1">
      <formula>$H4=0</formula>
    </cfRule>
    <cfRule type="expression" dxfId="24" priority="349" stopIfTrue="1">
      <formula>$H4=1</formula>
    </cfRule>
  </conditionalFormatting>
  <conditionalFormatting sqref="C69 A69">
    <cfRule type="expression" dxfId="23" priority="11" stopIfTrue="1">
      <formula>IF(AND($F$69=1,$G$69=1),TRUE,FALSE)</formula>
    </cfRule>
  </conditionalFormatting>
  <conditionalFormatting sqref="A29:A32">
    <cfRule type="expression" dxfId="22" priority="2" stopIfTrue="1">
      <formula>$F29=0</formula>
    </cfRule>
    <cfRule type="expression" dxfId="21" priority="3" stopIfTrue="1">
      <formula>$H29=0</formula>
    </cfRule>
    <cfRule type="expression" dxfId="20" priority="4" stopIfTrue="1">
      <formula>$H29=1</formula>
    </cfRule>
  </conditionalFormatting>
  <conditionalFormatting sqref="B65">
    <cfRule type="expression" dxfId="19" priority="1" stopIfTrue="1">
      <formula>IF(F65=0,TRUE)</formula>
    </cfRule>
  </conditionalFormatting>
  <conditionalFormatting sqref="A5:A13">
    <cfRule type="expression" dxfId="18" priority="49" stopIfTrue="1">
      <formula>$F5=0</formula>
    </cfRule>
    <cfRule type="expression" dxfId="17" priority="50" stopIfTrue="1">
      <formula>AND($F5=1,$G5=0)</formula>
    </cfRule>
    <cfRule type="expression" dxfId="16"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10"/>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ht="13.2">
      <c r="A2" s="29"/>
      <c r="B2" s="147"/>
      <c r="C2" s="147"/>
      <c r="D2"/>
      <c r="E2" s="30"/>
    </row>
    <row r="3" spans="1:6" ht="13.2">
      <c r="A3" s="29"/>
      <c r="B3" s="147"/>
      <c r="C3" s="147"/>
      <c r="D3" s="147"/>
      <c r="E3" s="30"/>
    </row>
    <row r="4" spans="1:6" ht="15.75" customHeight="1">
      <c r="A4" s="29"/>
      <c r="B4" s="446" t="s">
        <v>921</v>
      </c>
      <c r="C4" s="446"/>
      <c r="D4" s="446"/>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348" t="s">
        <v>15515</v>
      </c>
      <c r="C6" s="111" t="s">
        <v>15516</v>
      </c>
      <c r="D6" s="111" t="s">
        <v>15517</v>
      </c>
      <c r="E6" s="32"/>
      <c r="F6"/>
    </row>
    <row r="7" spans="1:6" s="33" customFormat="1" ht="15">
      <c r="A7" s="158"/>
      <c r="B7" s="348" t="s">
        <v>15518</v>
      </c>
      <c r="C7" s="111" t="s">
        <v>15519</v>
      </c>
      <c r="D7" s="111" t="s">
        <v>15520</v>
      </c>
      <c r="E7" s="32"/>
      <c r="F7"/>
    </row>
    <row r="8" spans="1:6" s="33" customFormat="1" ht="15">
      <c r="A8" s="158"/>
      <c r="B8" s="348" t="s">
        <v>15521</v>
      </c>
      <c r="C8" s="111" t="s">
        <v>15522</v>
      </c>
      <c r="D8" s="111" t="s">
        <v>15523</v>
      </c>
      <c r="E8" s="32"/>
      <c r="F8"/>
    </row>
    <row r="9" spans="1:6" s="33" customFormat="1" ht="15">
      <c r="A9" s="158"/>
      <c r="B9" s="348" t="s">
        <v>15524</v>
      </c>
      <c r="C9" s="111" t="s">
        <v>15524</v>
      </c>
      <c r="D9" s="111" t="s">
        <v>15525</v>
      </c>
      <c r="E9" s="32"/>
      <c r="F9"/>
    </row>
    <row r="10" spans="1:6" s="33" customFormat="1" ht="15">
      <c r="A10" s="158"/>
      <c r="B10" s="348" t="s">
        <v>15526</v>
      </c>
      <c r="C10" s="111" t="s">
        <v>15526</v>
      </c>
      <c r="D10" s="111" t="s">
        <v>15527</v>
      </c>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5" priority="21" stopIfTrue="1" operator="equal">
      <formula>"Yes"</formula>
    </cfRule>
  </conditionalFormatting>
  <conditionalFormatting sqref="K5">
    <cfRule type="cellIs" dxfId="14" priority="5" stopIfTrue="1" operator="equal">
      <formula>"Yes"</formula>
    </cfRule>
  </conditionalFormatting>
  <conditionalFormatting sqref="J293:J294">
    <cfRule type="cellIs" dxfId="13" priority="3" stopIfTrue="1" operator="equal">
      <formula>"Yes"</formula>
    </cfRule>
  </conditionalFormatting>
  <conditionalFormatting sqref="J353:J354">
    <cfRule type="cellIs" dxfId="12" priority="2" stopIfTrue="1" operator="equal">
      <formula>"Yes"</formula>
    </cfRule>
  </conditionalFormatting>
  <conditionalFormatting sqref="J484:J485">
    <cfRule type="cellIs" dxfId="1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cp:lastModifiedBy>
  <cp:lastPrinted>2015-04-21T20:47:43Z</cp:lastPrinted>
  <dcterms:created xsi:type="dcterms:W3CDTF">2010-06-21T21:00:23Z</dcterms:created>
  <dcterms:modified xsi:type="dcterms:W3CDTF">2020-05-29T15:57:31Z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